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susa.sharepoint.com/programs/foodandenvironment/FY20 Projects/Healthy Soils FY20/Rebecca's folder/Iowa Water Quality Project/Analysis_Results/"/>
    </mc:Choice>
  </mc:AlternateContent>
  <xr:revisionPtr revIDLastSave="2185" documentId="8_{EA060450-5AE0-4563-91BB-E74073FE8BC1}" xr6:coauthVersionLast="46" xr6:coauthVersionMax="46" xr10:uidLastSave="{336D3BBF-1943-47EB-AAB2-227288D59C58}"/>
  <bookViews>
    <workbookView xWindow="-120" yWindow="-120" windowWidth="38640" windowHeight="21240" activeTab="8" xr2:uid="{9273829C-DC37-4760-8F19-E45622764AE4}"/>
  </bookViews>
  <sheets>
    <sheet name="Data from TangJensen" sheetId="1" r:id="rId1"/>
    <sheet name="RO Calculations" sheetId="3" r:id="rId2"/>
    <sheet name="IX Calculations" sheetId="2" r:id="rId3"/>
    <sheet name="Water treated" sheetId="8" r:id="rId4"/>
    <sheet name="Aggregate results" sheetId="4" r:id="rId5"/>
    <sheet name="RO Calcs no Cap" sheetId="5" r:id="rId6"/>
    <sheet name="IX Calcs no Cap" sheetId="6" r:id="rId7"/>
    <sheet name="Aggregate results no caps" sheetId="7" r:id="rId8"/>
    <sheet name="Pop served by popcat11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9" l="1"/>
  <c r="U5" i="9"/>
  <c r="P12" i="9"/>
  <c r="P13" i="9"/>
  <c r="P14" i="9"/>
  <c r="P15" i="9"/>
  <c r="P11" i="9"/>
  <c r="S11" i="9" s="1"/>
  <c r="R12" i="9"/>
  <c r="R13" i="9"/>
  <c r="T13" i="9" s="1"/>
  <c r="R14" i="9"/>
  <c r="R15" i="9"/>
  <c r="R11" i="9"/>
  <c r="T11" i="9" s="1"/>
  <c r="Q11" i="9"/>
  <c r="Q15" i="9"/>
  <c r="T15" i="9" s="1"/>
  <c r="Q14" i="9"/>
  <c r="Q13" i="9"/>
  <c r="Q12" i="9"/>
  <c r="T5" i="9"/>
  <c r="T6" i="9"/>
  <c r="T7" i="9"/>
  <c r="T8" i="9"/>
  <c r="T14" i="9"/>
  <c r="T4" i="9"/>
  <c r="S12" i="9"/>
  <c r="S13" i="9"/>
  <c r="S14" i="9"/>
  <c r="S5" i="9"/>
  <c r="S6" i="9"/>
  <c r="S7" i="9"/>
  <c r="S8" i="9"/>
  <c r="S4" i="9"/>
  <c r="R8" i="9"/>
  <c r="Q8" i="9"/>
  <c r="P8" i="9"/>
  <c r="P4" i="9"/>
  <c r="O8" i="9"/>
  <c r="O7" i="9"/>
  <c r="R7" i="9" s="1"/>
  <c r="O6" i="9"/>
  <c r="R6" i="9" s="1"/>
  <c r="O5" i="9"/>
  <c r="P5" i="9" s="1"/>
  <c r="O4" i="9"/>
  <c r="R4" i="9" s="1"/>
  <c r="M15" i="9"/>
  <c r="K15" i="9"/>
  <c r="M14" i="9"/>
  <c r="K14" i="9"/>
  <c r="M13" i="9"/>
  <c r="K13" i="9"/>
  <c r="M12" i="9"/>
  <c r="K12" i="9"/>
  <c r="M11" i="9"/>
  <c r="K11" i="9"/>
  <c r="M8" i="9"/>
  <c r="K8" i="9"/>
  <c r="M7" i="9"/>
  <c r="K7" i="9"/>
  <c r="M6" i="9"/>
  <c r="K6" i="9"/>
  <c r="M5" i="9"/>
  <c r="K5" i="9"/>
  <c r="M4" i="9"/>
  <c r="K4" i="9"/>
  <c r="E5" i="9"/>
  <c r="C10" i="9"/>
  <c r="E6" i="9" s="1"/>
  <c r="N5" i="1"/>
  <c r="N6" i="1"/>
  <c r="N7" i="1"/>
  <c r="O7" i="1" s="1"/>
  <c r="N10" i="1"/>
  <c r="N11" i="1"/>
  <c r="N12" i="1"/>
  <c r="O12" i="1" s="1"/>
  <c r="N13" i="1"/>
  <c r="N16" i="1"/>
  <c r="N17" i="1"/>
  <c r="N18" i="1"/>
  <c r="N19" i="1"/>
  <c r="N23" i="1"/>
  <c r="O23" i="1" s="1"/>
  <c r="N24" i="1"/>
  <c r="N25" i="1"/>
  <c r="N26" i="1"/>
  <c r="N29" i="1"/>
  <c r="N30" i="1"/>
  <c r="O30" i="1" s="1"/>
  <c r="N31" i="1"/>
  <c r="O31" i="1" s="1"/>
  <c r="N32" i="1"/>
  <c r="N35" i="1"/>
  <c r="N36" i="1"/>
  <c r="O36" i="1" s="1"/>
  <c r="N37" i="1"/>
  <c r="N38" i="1"/>
  <c r="O38" i="1" s="1"/>
  <c r="N4" i="1"/>
  <c r="O4" i="1" s="1"/>
  <c r="L4" i="1"/>
  <c r="O5" i="1"/>
  <c r="O6" i="1"/>
  <c r="O10" i="1"/>
  <c r="O11" i="1"/>
  <c r="O13" i="1"/>
  <c r="O16" i="1"/>
  <c r="O17" i="1"/>
  <c r="O18" i="1"/>
  <c r="O19" i="1"/>
  <c r="O24" i="1"/>
  <c r="O25" i="1"/>
  <c r="O26" i="1"/>
  <c r="O29" i="1"/>
  <c r="O32" i="1"/>
  <c r="O35" i="1"/>
  <c r="O37" i="1"/>
  <c r="M4" i="1"/>
  <c r="K5" i="2"/>
  <c r="T12" i="9" l="1"/>
  <c r="S15" i="9"/>
  <c r="E4" i="9"/>
  <c r="P6" i="9"/>
  <c r="E2" i="9"/>
  <c r="Q6" i="9"/>
  <c r="Q5" i="9"/>
  <c r="E3" i="9"/>
  <c r="E9" i="9"/>
  <c r="E8" i="9"/>
  <c r="Q4" i="9"/>
  <c r="P7" i="9"/>
  <c r="R5" i="9"/>
  <c r="E7" i="9"/>
  <c r="Q7" i="9"/>
  <c r="F42" i="7"/>
  <c r="G42" i="7"/>
  <c r="H42" i="7"/>
  <c r="I42" i="7"/>
  <c r="J42" i="7"/>
  <c r="F41" i="7"/>
  <c r="G41" i="7"/>
  <c r="H41" i="7"/>
  <c r="I41" i="7"/>
  <c r="J41" i="7"/>
  <c r="E42" i="7"/>
  <c r="E41" i="7"/>
  <c r="Q11" i="4"/>
  <c r="Q12" i="4"/>
  <c r="Q13" i="4"/>
  <c r="Q14" i="4"/>
  <c r="Q15" i="4"/>
  <c r="O12" i="4"/>
  <c r="O13" i="4"/>
  <c r="O14" i="4"/>
  <c r="O15" i="4"/>
  <c r="O11" i="4"/>
  <c r="Q8" i="4"/>
  <c r="Q7" i="4"/>
  <c r="Q6" i="4"/>
  <c r="Q5" i="4"/>
  <c r="Q4" i="4"/>
  <c r="O8" i="4"/>
  <c r="O7" i="4"/>
  <c r="O6" i="4"/>
  <c r="O5" i="4"/>
  <c r="O4" i="4"/>
  <c r="J6" i="8" l="1"/>
  <c r="J7" i="8"/>
  <c r="J8" i="8"/>
  <c r="J9" i="8"/>
  <c r="J5" i="8"/>
  <c r="J10" i="8" s="1"/>
  <c r="G6" i="8"/>
  <c r="G7" i="8"/>
  <c r="G8" i="8"/>
  <c r="G9" i="8"/>
  <c r="G5" i="8"/>
  <c r="M5" i="2"/>
  <c r="G10" i="8" l="1"/>
  <c r="I34" i="7"/>
  <c r="H34" i="7"/>
  <c r="J34" i="7"/>
  <c r="I33" i="7"/>
  <c r="H33" i="7"/>
  <c r="G33" i="7"/>
  <c r="F33" i="7"/>
  <c r="J33" i="7"/>
  <c r="K33" i="6"/>
  <c r="K34" i="6"/>
  <c r="O34" i="6" s="1"/>
  <c r="K35" i="6"/>
  <c r="O35" i="6" s="1"/>
  <c r="K32" i="6"/>
  <c r="L32" i="6" s="1"/>
  <c r="K19" i="6"/>
  <c r="O19" i="6" s="1"/>
  <c r="K20" i="6"/>
  <c r="L20" i="6" s="1"/>
  <c r="K21" i="6"/>
  <c r="L21" i="6" s="1"/>
  <c r="K18" i="6"/>
  <c r="O18" i="6" s="1"/>
  <c r="K5" i="6"/>
  <c r="O5" i="6" s="1"/>
  <c r="K6" i="6"/>
  <c r="L6" i="6" s="1"/>
  <c r="K7" i="6"/>
  <c r="L7" i="6" s="1"/>
  <c r="K4" i="6"/>
  <c r="O4" i="6" s="1"/>
  <c r="L4" i="6"/>
  <c r="H57" i="6"/>
  <c r="H53" i="6"/>
  <c r="Q4" i="6" s="1"/>
  <c r="H49" i="6"/>
  <c r="N37" i="6"/>
  <c r="D36" i="6"/>
  <c r="M35" i="6"/>
  <c r="M34" i="6"/>
  <c r="L34" i="6"/>
  <c r="M33" i="6"/>
  <c r="O33" i="6"/>
  <c r="M32" i="6"/>
  <c r="N23" i="6"/>
  <c r="D22" i="6"/>
  <c r="M21" i="6"/>
  <c r="O20" i="6"/>
  <c r="M20" i="6"/>
  <c r="M19" i="6"/>
  <c r="M18" i="6"/>
  <c r="N9" i="6"/>
  <c r="J8" i="6"/>
  <c r="D8" i="6"/>
  <c r="E36" i="6" s="1"/>
  <c r="M7" i="6"/>
  <c r="M6" i="6"/>
  <c r="M5" i="6"/>
  <c r="R4" i="6"/>
  <c r="S4" i="6" s="1"/>
  <c r="M4" i="6"/>
  <c r="L34" i="5"/>
  <c r="P34" i="5" s="1"/>
  <c r="L35" i="5"/>
  <c r="P35" i="5" s="1"/>
  <c r="L36" i="5"/>
  <c r="P36" i="5" s="1"/>
  <c r="L37" i="5"/>
  <c r="P37" i="5" s="1"/>
  <c r="L33" i="5"/>
  <c r="M33" i="5" s="1"/>
  <c r="L19" i="5"/>
  <c r="L20" i="5"/>
  <c r="P20" i="5" s="1"/>
  <c r="L21" i="5"/>
  <c r="P21" i="5" s="1"/>
  <c r="L22" i="5"/>
  <c r="M22" i="5" s="1"/>
  <c r="M23" i="5" s="1"/>
  <c r="L23" i="5"/>
  <c r="P19" i="5"/>
  <c r="L6" i="5"/>
  <c r="P6" i="5" s="1"/>
  <c r="L7" i="5"/>
  <c r="P7" i="5" s="1"/>
  <c r="L8" i="5"/>
  <c r="P8" i="5" s="1"/>
  <c r="L9" i="5"/>
  <c r="P9" i="5" s="1"/>
  <c r="L5" i="5"/>
  <c r="P5" i="5" s="1"/>
  <c r="I58" i="5"/>
  <c r="I54" i="5"/>
  <c r="I50" i="5"/>
  <c r="S5" i="5" s="1"/>
  <c r="U5" i="5" s="1"/>
  <c r="O38" i="5"/>
  <c r="N37" i="5"/>
  <c r="E37" i="5"/>
  <c r="N36" i="5"/>
  <c r="N35" i="5"/>
  <c r="N34" i="5"/>
  <c r="N33" i="5"/>
  <c r="O24" i="5"/>
  <c r="N23" i="5"/>
  <c r="P23" i="5"/>
  <c r="E23" i="5"/>
  <c r="N22" i="5"/>
  <c r="N21" i="5"/>
  <c r="N20" i="5"/>
  <c r="M20" i="5"/>
  <c r="N19" i="5"/>
  <c r="O10" i="5"/>
  <c r="N9" i="5"/>
  <c r="E9" i="5"/>
  <c r="N8" i="5"/>
  <c r="N7" i="5"/>
  <c r="N6" i="5"/>
  <c r="N5" i="5"/>
  <c r="E33" i="4"/>
  <c r="J38" i="4"/>
  <c r="F38" i="4"/>
  <c r="I38" i="4"/>
  <c r="I37" i="4"/>
  <c r="H37" i="4"/>
  <c r="G37" i="4"/>
  <c r="J34" i="4"/>
  <c r="J33" i="4"/>
  <c r="I33" i="4"/>
  <c r="H33" i="4"/>
  <c r="O5" i="2"/>
  <c r="J37" i="2"/>
  <c r="G23" i="2"/>
  <c r="J38" i="7"/>
  <c r="I38" i="7"/>
  <c r="H38" i="7"/>
  <c r="G38" i="7"/>
  <c r="F38" i="7"/>
  <c r="E38" i="7"/>
  <c r="J37" i="7"/>
  <c r="I37" i="7"/>
  <c r="H37" i="7"/>
  <c r="G37" i="7"/>
  <c r="F37" i="7"/>
  <c r="E37" i="7"/>
  <c r="E34" i="7"/>
  <c r="E33" i="7"/>
  <c r="J42" i="4"/>
  <c r="I42" i="4"/>
  <c r="H42" i="4"/>
  <c r="G42" i="4"/>
  <c r="F42" i="4"/>
  <c r="E42" i="4"/>
  <c r="J41" i="4"/>
  <c r="I41" i="4"/>
  <c r="H41" i="4"/>
  <c r="G41" i="4"/>
  <c r="F41" i="4"/>
  <c r="E41" i="4"/>
  <c r="E37" i="4"/>
  <c r="E38" i="4"/>
  <c r="M36" i="2"/>
  <c r="M22" i="2"/>
  <c r="M7" i="2"/>
  <c r="M8" i="2"/>
  <c r="N37" i="3"/>
  <c r="M7" i="3"/>
  <c r="M8" i="3"/>
  <c r="M5" i="3"/>
  <c r="M6" i="3"/>
  <c r="K8" i="3"/>
  <c r="O8" i="3" s="1"/>
  <c r="M36" i="3"/>
  <c r="K36" i="3"/>
  <c r="O36" i="3" s="1"/>
  <c r="K22" i="3"/>
  <c r="O22" i="3" s="1"/>
  <c r="M20" i="3"/>
  <c r="M21" i="3"/>
  <c r="M22" i="3"/>
  <c r="K35" i="3"/>
  <c r="L35" i="3" s="1"/>
  <c r="L36" i="3" s="1"/>
  <c r="K34" i="3"/>
  <c r="O34" i="3" s="1"/>
  <c r="K33" i="3"/>
  <c r="L33" i="3" s="1"/>
  <c r="K32" i="3"/>
  <c r="O32" i="3" s="1"/>
  <c r="K21" i="3"/>
  <c r="O21" i="3" s="1"/>
  <c r="K20" i="3"/>
  <c r="L20" i="3" s="1"/>
  <c r="K19" i="3"/>
  <c r="L19" i="3" s="1"/>
  <c r="K18" i="3"/>
  <c r="L18" i="3" s="1"/>
  <c r="K7" i="3"/>
  <c r="L7" i="3" s="1"/>
  <c r="K6" i="3"/>
  <c r="L6" i="3" s="1"/>
  <c r="K5" i="3"/>
  <c r="O5" i="3" s="1"/>
  <c r="K4" i="3"/>
  <c r="L4" i="3" s="1"/>
  <c r="H57" i="3"/>
  <c r="H53" i="3"/>
  <c r="H49" i="3"/>
  <c r="Q4" i="3" s="1"/>
  <c r="D36" i="3"/>
  <c r="M35" i="3"/>
  <c r="M34" i="3"/>
  <c r="M33" i="3"/>
  <c r="M32" i="3"/>
  <c r="N23" i="3"/>
  <c r="D22" i="3"/>
  <c r="M19" i="3"/>
  <c r="M18" i="3"/>
  <c r="N9" i="3"/>
  <c r="D8" i="3"/>
  <c r="M4" i="3"/>
  <c r="K36" i="2"/>
  <c r="L36" i="2" s="1"/>
  <c r="K35" i="2"/>
  <c r="O35" i="2" s="1"/>
  <c r="K34" i="2"/>
  <c r="L34" i="2" s="1"/>
  <c r="K33" i="2"/>
  <c r="O33" i="2" s="1"/>
  <c r="K8" i="2"/>
  <c r="L8" i="2" s="1"/>
  <c r="K7" i="2"/>
  <c r="L7" i="2" s="1"/>
  <c r="K6" i="2"/>
  <c r="L6" i="2" s="1"/>
  <c r="L5" i="2"/>
  <c r="K20" i="2"/>
  <c r="O20" i="2" s="1"/>
  <c r="K21" i="2"/>
  <c r="L21" i="2" s="1"/>
  <c r="K22" i="2"/>
  <c r="O22" i="2" s="1"/>
  <c r="K19" i="2"/>
  <c r="L19" i="2" s="1"/>
  <c r="U19" i="1"/>
  <c r="V19" i="1" s="1"/>
  <c r="AA19" i="1" s="1"/>
  <c r="AB19" i="1" s="1"/>
  <c r="T19" i="1"/>
  <c r="U18" i="1"/>
  <c r="W18" i="1" s="1"/>
  <c r="T18" i="1"/>
  <c r="U17" i="1"/>
  <c r="W17" i="1" s="1"/>
  <c r="T17" i="1"/>
  <c r="W16" i="1"/>
  <c r="V16" i="1"/>
  <c r="AA16" i="1" s="1"/>
  <c r="AB16" i="1" s="1"/>
  <c r="U16" i="1"/>
  <c r="T16" i="1"/>
  <c r="U13" i="1"/>
  <c r="V13" i="1" s="1"/>
  <c r="AA13" i="1" s="1"/>
  <c r="T13" i="1"/>
  <c r="U12" i="1"/>
  <c r="W12" i="1" s="1"/>
  <c r="T12" i="1"/>
  <c r="U11" i="1"/>
  <c r="W11" i="1" s="1"/>
  <c r="T11" i="1"/>
  <c r="U10" i="1"/>
  <c r="W10" i="1" s="1"/>
  <c r="T10" i="1"/>
  <c r="U7" i="1"/>
  <c r="V7" i="1" s="1"/>
  <c r="AA7" i="1" s="1"/>
  <c r="T7" i="1"/>
  <c r="U6" i="1"/>
  <c r="W6" i="1" s="1"/>
  <c r="T6" i="1"/>
  <c r="U5" i="1"/>
  <c r="W5" i="1" s="1"/>
  <c r="T5" i="1"/>
  <c r="U4" i="1"/>
  <c r="W4" i="1" s="1"/>
  <c r="T4" i="1"/>
  <c r="F38" i="1"/>
  <c r="G38" i="1" s="1"/>
  <c r="L38" i="1" s="1"/>
  <c r="E38" i="1"/>
  <c r="F37" i="1"/>
  <c r="H37" i="1" s="1"/>
  <c r="E37" i="1"/>
  <c r="F36" i="1"/>
  <c r="H36" i="1" s="1"/>
  <c r="E36" i="1"/>
  <c r="F35" i="1"/>
  <c r="G35" i="1" s="1"/>
  <c r="L35" i="1" s="1"/>
  <c r="E35" i="1"/>
  <c r="F32" i="1"/>
  <c r="G32" i="1" s="1"/>
  <c r="L32" i="1" s="1"/>
  <c r="E32" i="1"/>
  <c r="F31" i="1"/>
  <c r="G31" i="1" s="1"/>
  <c r="L31" i="1" s="1"/>
  <c r="E31" i="1"/>
  <c r="F30" i="1"/>
  <c r="H30" i="1" s="1"/>
  <c r="E30" i="1"/>
  <c r="F29" i="1"/>
  <c r="H29" i="1" s="1"/>
  <c r="E29" i="1"/>
  <c r="F26" i="1"/>
  <c r="G26" i="1" s="1"/>
  <c r="L26" i="1" s="1"/>
  <c r="E26" i="1"/>
  <c r="F25" i="1"/>
  <c r="G25" i="1" s="1"/>
  <c r="L25" i="1" s="1"/>
  <c r="E25" i="1"/>
  <c r="F24" i="1"/>
  <c r="H24" i="1" s="1"/>
  <c r="E24" i="1"/>
  <c r="F23" i="1"/>
  <c r="H23" i="1" s="1"/>
  <c r="E23" i="1"/>
  <c r="N10" i="2"/>
  <c r="N38" i="2"/>
  <c r="N24" i="2"/>
  <c r="D37" i="2"/>
  <c r="D23" i="2"/>
  <c r="D9" i="2"/>
  <c r="J23" i="2" s="1"/>
  <c r="M34" i="2"/>
  <c r="M35" i="2"/>
  <c r="M33" i="2"/>
  <c r="M20" i="2"/>
  <c r="M21" i="2"/>
  <c r="M19" i="2"/>
  <c r="M6" i="2"/>
  <c r="H58" i="2"/>
  <c r="H54" i="2"/>
  <c r="H50" i="2"/>
  <c r="Q5" i="2" s="1"/>
  <c r="F19" i="1"/>
  <c r="H19" i="1" s="1"/>
  <c r="E19" i="1"/>
  <c r="F18" i="1"/>
  <c r="H18" i="1" s="1"/>
  <c r="E18" i="1"/>
  <c r="F17" i="1"/>
  <c r="H17" i="1" s="1"/>
  <c r="E17" i="1"/>
  <c r="F16" i="1"/>
  <c r="H16" i="1" s="1"/>
  <c r="E16" i="1"/>
  <c r="F13" i="1"/>
  <c r="H13" i="1" s="1"/>
  <c r="E13" i="1"/>
  <c r="F12" i="1"/>
  <c r="H12" i="1" s="1"/>
  <c r="E12" i="1"/>
  <c r="F11" i="1"/>
  <c r="H11" i="1" s="1"/>
  <c r="E11" i="1"/>
  <c r="F10" i="1"/>
  <c r="H10" i="1" s="1"/>
  <c r="E10" i="1"/>
  <c r="E7" i="1"/>
  <c r="E6" i="1"/>
  <c r="E5" i="1"/>
  <c r="E4" i="1"/>
  <c r="F7" i="1"/>
  <c r="H7" i="1" s="1"/>
  <c r="F6" i="1"/>
  <c r="G6" i="1" s="1"/>
  <c r="L6" i="1" s="1"/>
  <c r="F5" i="1"/>
  <c r="H5" i="1" s="1"/>
  <c r="F4" i="1"/>
  <c r="H4" i="1" s="1"/>
  <c r="V17" i="1" l="1"/>
  <c r="AA17" i="1" s="1"/>
  <c r="V4" i="1"/>
  <c r="AA4" i="1" s="1"/>
  <c r="AB4" i="1" s="1"/>
  <c r="AB7" i="1"/>
  <c r="W7" i="1"/>
  <c r="M25" i="1"/>
  <c r="AB13" i="1"/>
  <c r="V5" i="1"/>
  <c r="AA5" i="1" s="1"/>
  <c r="AB5" i="1" s="1"/>
  <c r="V10" i="1"/>
  <c r="AA10" i="1" s="1"/>
  <c r="AB10" i="1" s="1"/>
  <c r="M35" i="1"/>
  <c r="V11" i="1"/>
  <c r="AA11" i="1" s="1"/>
  <c r="AB11" i="1" s="1"/>
  <c r="W19" i="1"/>
  <c r="M23" i="6"/>
  <c r="P18" i="6"/>
  <c r="P5" i="6"/>
  <c r="P19" i="6"/>
  <c r="M9" i="6"/>
  <c r="M37" i="6"/>
  <c r="M8" i="5"/>
  <c r="P22" i="5"/>
  <c r="P24" i="5" s="1"/>
  <c r="N24" i="5"/>
  <c r="Q19" i="5"/>
  <c r="N38" i="5"/>
  <c r="P33" i="5"/>
  <c r="Q33" i="5" s="1"/>
  <c r="M34" i="5"/>
  <c r="R5" i="5"/>
  <c r="N10" i="5"/>
  <c r="O19" i="2"/>
  <c r="P35" i="2"/>
  <c r="Q35" i="2" s="1"/>
  <c r="R35" i="2" s="1"/>
  <c r="F9" i="2"/>
  <c r="M9" i="2" s="1"/>
  <c r="I23" i="2"/>
  <c r="O36" i="2"/>
  <c r="P36" i="2" s="1"/>
  <c r="Q36" i="2" s="1"/>
  <c r="R36" i="2" s="1"/>
  <c r="I37" i="2"/>
  <c r="P19" i="2"/>
  <c r="R19" i="2" s="1"/>
  <c r="O6" i="2"/>
  <c r="P6" i="2" s="1"/>
  <c r="J9" i="2"/>
  <c r="K9" i="2" s="1"/>
  <c r="L9" i="2" s="1"/>
  <c r="L35" i="2"/>
  <c r="O7" i="2"/>
  <c r="P7" i="2" s="1"/>
  <c r="O34" i="2"/>
  <c r="P34" i="2" s="1"/>
  <c r="Q34" i="2" s="1"/>
  <c r="R34" i="2" s="1"/>
  <c r="E37" i="2"/>
  <c r="L22" i="2"/>
  <c r="O8" i="2"/>
  <c r="P8" i="2" s="1"/>
  <c r="F37" i="2"/>
  <c r="O21" i="2"/>
  <c r="P21" i="2" s="1"/>
  <c r="E23" i="2"/>
  <c r="G37" i="2"/>
  <c r="R5" i="2"/>
  <c r="P22" i="2"/>
  <c r="E9" i="2"/>
  <c r="G9" i="2"/>
  <c r="F23" i="2"/>
  <c r="M23" i="2" s="1"/>
  <c r="P20" i="2"/>
  <c r="I9" i="2"/>
  <c r="O6" i="3"/>
  <c r="O20" i="3"/>
  <c r="R4" i="3"/>
  <c r="L34" i="3"/>
  <c r="O19" i="3"/>
  <c r="M9" i="3"/>
  <c r="O18" i="3"/>
  <c r="O4" i="3"/>
  <c r="P36" i="3" s="1"/>
  <c r="O7" i="3"/>
  <c r="L21" i="3"/>
  <c r="L22" i="3" s="1"/>
  <c r="F34" i="7"/>
  <c r="G34" i="7"/>
  <c r="L35" i="6"/>
  <c r="L19" i="6"/>
  <c r="O21" i="6"/>
  <c r="O6" i="6"/>
  <c r="P6" i="6" s="1"/>
  <c r="L5" i="6"/>
  <c r="P34" i="6"/>
  <c r="T4" i="6"/>
  <c r="U4" i="6" s="1"/>
  <c r="L18" i="6"/>
  <c r="E22" i="6"/>
  <c r="F36" i="6"/>
  <c r="O7" i="6"/>
  <c r="E8" i="6"/>
  <c r="F22" i="6"/>
  <c r="M22" i="6" s="1"/>
  <c r="O32" i="6"/>
  <c r="P32" i="6" s="1"/>
  <c r="L33" i="6"/>
  <c r="G36" i="6"/>
  <c r="G22" i="6"/>
  <c r="G8" i="6"/>
  <c r="I22" i="6"/>
  <c r="J36" i="6"/>
  <c r="F8" i="6"/>
  <c r="I36" i="6"/>
  <c r="I8" i="6"/>
  <c r="J22" i="6"/>
  <c r="M35" i="5"/>
  <c r="M21" i="5"/>
  <c r="Q23" i="5"/>
  <c r="Q6" i="5"/>
  <c r="Q36" i="5"/>
  <c r="Q7" i="5"/>
  <c r="P10" i="5"/>
  <c r="Q9" i="5"/>
  <c r="Q34" i="5"/>
  <c r="Q37" i="5"/>
  <c r="Q35" i="5"/>
  <c r="Q8" i="5"/>
  <c r="Q21" i="5"/>
  <c r="P38" i="5"/>
  <c r="Q20" i="5"/>
  <c r="M5" i="5"/>
  <c r="M19" i="5"/>
  <c r="M36" i="5"/>
  <c r="M37" i="5" s="1"/>
  <c r="M6" i="5"/>
  <c r="M7" i="5"/>
  <c r="T5" i="5"/>
  <c r="J37" i="4"/>
  <c r="G38" i="4"/>
  <c r="F37" i="4"/>
  <c r="H38" i="4"/>
  <c r="G34" i="4"/>
  <c r="F33" i="4"/>
  <c r="H34" i="4"/>
  <c r="G33" i="4"/>
  <c r="I34" i="4"/>
  <c r="F34" i="4"/>
  <c r="E34" i="4"/>
  <c r="M23" i="3"/>
  <c r="M37" i="3"/>
  <c r="O33" i="3"/>
  <c r="L32" i="3"/>
  <c r="O35" i="3"/>
  <c r="L5" i="3"/>
  <c r="L33" i="2"/>
  <c r="L20" i="2"/>
  <c r="M26" i="1"/>
  <c r="M6" i="1"/>
  <c r="AB17" i="1"/>
  <c r="M38" i="1"/>
  <c r="W13" i="1"/>
  <c r="H35" i="1"/>
  <c r="G7" i="1"/>
  <c r="V6" i="1"/>
  <c r="AA6" i="1" s="1"/>
  <c r="AB6" i="1" s="1"/>
  <c r="V12" i="1"/>
  <c r="AA12" i="1" s="1"/>
  <c r="AB12" i="1" s="1"/>
  <c r="V18" i="1"/>
  <c r="AA18" i="1" s="1"/>
  <c r="AB18" i="1" s="1"/>
  <c r="G23" i="1"/>
  <c r="H26" i="1"/>
  <c r="M31" i="1"/>
  <c r="G4" i="1"/>
  <c r="M32" i="1"/>
  <c r="G29" i="1"/>
  <c r="H32" i="1"/>
  <c r="H38" i="1"/>
  <c r="H31" i="1"/>
  <c r="G24" i="1"/>
  <c r="G30" i="1"/>
  <c r="L30" i="1" s="1"/>
  <c r="M30" i="1" s="1"/>
  <c r="G36" i="1"/>
  <c r="L36" i="1" s="1"/>
  <c r="M36" i="1" s="1"/>
  <c r="H25" i="1"/>
  <c r="G37" i="1"/>
  <c r="L37" i="1" s="1"/>
  <c r="M37" i="1" s="1"/>
  <c r="M10" i="2"/>
  <c r="M24" i="2"/>
  <c r="M38" i="2"/>
  <c r="G12" i="1"/>
  <c r="L12" i="1" s="1"/>
  <c r="M12" i="1" s="1"/>
  <c r="G10" i="1"/>
  <c r="G16" i="1"/>
  <c r="H6" i="1"/>
  <c r="G5" i="1"/>
  <c r="G18" i="1"/>
  <c r="L18" i="1" s="1"/>
  <c r="M18" i="1" s="1"/>
  <c r="G17" i="1"/>
  <c r="L17" i="1" s="1"/>
  <c r="M17" i="1" s="1"/>
  <c r="G19" i="1"/>
  <c r="L19" i="1" s="1"/>
  <c r="M19" i="1" s="1"/>
  <c r="G11" i="1"/>
  <c r="L11" i="1" s="1"/>
  <c r="M11" i="1" s="1"/>
  <c r="G13" i="1"/>
  <c r="L13" i="1" s="1"/>
  <c r="M13" i="1" s="1"/>
  <c r="L7" i="1" l="1"/>
  <c r="M7" i="1" s="1"/>
  <c r="L24" i="1"/>
  <c r="M24" i="1" s="1"/>
  <c r="L10" i="1"/>
  <c r="M10" i="1" s="1"/>
  <c r="L23" i="1"/>
  <c r="M23" i="1" s="1"/>
  <c r="L5" i="1"/>
  <c r="M5" i="1" s="1"/>
  <c r="L29" i="1"/>
  <c r="M29" i="1" s="1"/>
  <c r="L16" i="1"/>
  <c r="M16" i="1" s="1"/>
  <c r="K22" i="6"/>
  <c r="K36" i="6"/>
  <c r="K8" i="6"/>
  <c r="L8" i="6" s="1"/>
  <c r="Q22" i="5"/>
  <c r="K23" i="2"/>
  <c r="Q19" i="2"/>
  <c r="U19" i="2" s="1"/>
  <c r="S19" i="2"/>
  <c r="T19" i="2"/>
  <c r="P33" i="2"/>
  <c r="Q33" i="2" s="1"/>
  <c r="R33" i="2" s="1"/>
  <c r="T33" i="2" s="1"/>
  <c r="R7" i="2"/>
  <c r="Q7" i="2"/>
  <c r="R8" i="2"/>
  <c r="S8" i="2" s="1"/>
  <c r="Q8" i="2"/>
  <c r="Q21" i="2"/>
  <c r="R21" i="2"/>
  <c r="R6" i="2"/>
  <c r="Q6" i="2"/>
  <c r="Q22" i="2"/>
  <c r="R22" i="2"/>
  <c r="T22" i="2" s="1"/>
  <c r="S5" i="2"/>
  <c r="T5" i="2"/>
  <c r="S33" i="2"/>
  <c r="U33" i="2" s="1"/>
  <c r="Q20" i="2"/>
  <c r="R20" i="2"/>
  <c r="T20" i="2" s="1"/>
  <c r="M37" i="2"/>
  <c r="K37" i="2"/>
  <c r="O23" i="3"/>
  <c r="P7" i="3"/>
  <c r="Q7" i="3" s="1"/>
  <c r="P6" i="3"/>
  <c r="P20" i="3"/>
  <c r="P5" i="3"/>
  <c r="P22" i="3"/>
  <c r="P8" i="3"/>
  <c r="O9" i="3"/>
  <c r="P19" i="3"/>
  <c r="T4" i="3"/>
  <c r="S4" i="3"/>
  <c r="P32" i="3"/>
  <c r="R36" i="3"/>
  <c r="S36" i="3" s="1"/>
  <c r="T36" i="3" s="1"/>
  <c r="Q36" i="3"/>
  <c r="U36" i="3" s="1"/>
  <c r="P18" i="3"/>
  <c r="P21" i="3"/>
  <c r="P35" i="6"/>
  <c r="Q35" i="6" s="1"/>
  <c r="R35" i="6" s="1"/>
  <c r="P7" i="6"/>
  <c r="R7" i="6" s="1"/>
  <c r="P21" i="6"/>
  <c r="R21" i="6" s="1"/>
  <c r="P20" i="6"/>
  <c r="R20" i="6" s="1"/>
  <c r="P33" i="6"/>
  <c r="Q33" i="6" s="1"/>
  <c r="R33" i="6" s="1"/>
  <c r="Q34" i="6"/>
  <c r="R34" i="6" s="1"/>
  <c r="R18" i="6"/>
  <c r="Q18" i="6"/>
  <c r="Q5" i="6"/>
  <c r="R5" i="6"/>
  <c r="M36" i="6"/>
  <c r="R6" i="6"/>
  <c r="Q6" i="6"/>
  <c r="Q19" i="6"/>
  <c r="R19" i="6"/>
  <c r="M8" i="6"/>
  <c r="S8" i="5"/>
  <c r="R8" i="5"/>
  <c r="S35" i="5"/>
  <c r="R35" i="5"/>
  <c r="R37" i="5"/>
  <c r="S37" i="5"/>
  <c r="T37" i="5" s="1"/>
  <c r="U37" i="5" s="1"/>
  <c r="S33" i="5"/>
  <c r="Q38" i="5"/>
  <c r="R33" i="5"/>
  <c r="S9" i="5"/>
  <c r="R9" i="5"/>
  <c r="V5" i="5"/>
  <c r="S22" i="5"/>
  <c r="R22" i="5"/>
  <c r="S21" i="5"/>
  <c r="T21" i="5" s="1"/>
  <c r="U21" i="5" s="1"/>
  <c r="R21" i="5"/>
  <c r="S36" i="5"/>
  <c r="T36" i="5" s="1"/>
  <c r="U36" i="5" s="1"/>
  <c r="R36" i="5"/>
  <c r="R6" i="5"/>
  <c r="Q10" i="5"/>
  <c r="S6" i="5"/>
  <c r="R23" i="5"/>
  <c r="S23" i="5"/>
  <c r="S34" i="5"/>
  <c r="T34" i="5" s="1"/>
  <c r="U34" i="5" s="1"/>
  <c r="R34" i="5"/>
  <c r="S20" i="5"/>
  <c r="T20" i="5" s="1"/>
  <c r="U20" i="5" s="1"/>
  <c r="R20" i="5"/>
  <c r="Q24" i="5"/>
  <c r="S19" i="5"/>
  <c r="R19" i="5"/>
  <c r="R7" i="5"/>
  <c r="S7" i="5"/>
  <c r="O9" i="2"/>
  <c r="P9" i="2" s="1"/>
  <c r="P35" i="3"/>
  <c r="O37" i="3"/>
  <c r="T36" i="2"/>
  <c r="S36" i="2"/>
  <c r="T34" i="2"/>
  <c r="S34" i="2"/>
  <c r="T35" i="2"/>
  <c r="S35" i="2"/>
  <c r="S21" i="2"/>
  <c r="P34" i="3"/>
  <c r="P33" i="3"/>
  <c r="Q7" i="6" l="1"/>
  <c r="Q21" i="6"/>
  <c r="V34" i="5"/>
  <c r="S22" i="2"/>
  <c r="U5" i="2"/>
  <c r="O23" i="2"/>
  <c r="L23" i="2"/>
  <c r="S20" i="2"/>
  <c r="U22" i="2"/>
  <c r="T8" i="2"/>
  <c r="U8" i="2" s="1"/>
  <c r="U36" i="2"/>
  <c r="Q9" i="2"/>
  <c r="Q10" i="2" s="1"/>
  <c r="R9" i="2"/>
  <c r="T9" i="2" s="1"/>
  <c r="L37" i="2"/>
  <c r="O37" i="2"/>
  <c r="T21" i="2"/>
  <c r="R7" i="3"/>
  <c r="T7" i="3" s="1"/>
  <c r="S7" i="3"/>
  <c r="Q6" i="3"/>
  <c r="R6" i="3"/>
  <c r="U4" i="3"/>
  <c r="Q18" i="3"/>
  <c r="R18" i="3"/>
  <c r="P23" i="3"/>
  <c r="O27" i="3" s="1"/>
  <c r="R27" i="3" s="1"/>
  <c r="R19" i="3"/>
  <c r="S19" i="3" s="1"/>
  <c r="T19" i="3" s="1"/>
  <c r="Q19" i="3"/>
  <c r="R35" i="3"/>
  <c r="Q35" i="3"/>
  <c r="R8" i="3"/>
  <c r="Q8" i="3"/>
  <c r="Q21" i="3"/>
  <c r="R21" i="3"/>
  <c r="R33" i="3"/>
  <c r="S33" i="3" s="1"/>
  <c r="T33" i="3" s="1"/>
  <c r="Q33" i="3"/>
  <c r="Q32" i="3"/>
  <c r="R32" i="3"/>
  <c r="Q22" i="3"/>
  <c r="R22" i="3"/>
  <c r="R34" i="3"/>
  <c r="Q34" i="3"/>
  <c r="Q5" i="3"/>
  <c r="R5" i="3"/>
  <c r="P9" i="3"/>
  <c r="O13" i="3" s="1"/>
  <c r="Q20" i="3"/>
  <c r="R20" i="3"/>
  <c r="S20" i="3" s="1"/>
  <c r="T20" i="3" s="1"/>
  <c r="U20" i="3"/>
  <c r="Q20" i="6"/>
  <c r="T35" i="6"/>
  <c r="S35" i="6"/>
  <c r="S20" i="6"/>
  <c r="T20" i="6"/>
  <c r="T5" i="6"/>
  <c r="S5" i="6"/>
  <c r="Q32" i="6"/>
  <c r="T7" i="6"/>
  <c r="S7" i="6"/>
  <c r="O8" i="6"/>
  <c r="T6" i="6"/>
  <c r="S6" i="6"/>
  <c r="U6" i="6" s="1"/>
  <c r="T19" i="6"/>
  <c r="S19" i="6"/>
  <c r="T18" i="6"/>
  <c r="S18" i="6"/>
  <c r="L22" i="6"/>
  <c r="O22" i="6"/>
  <c r="O36" i="6"/>
  <c r="L36" i="6"/>
  <c r="T21" i="6"/>
  <c r="S21" i="6"/>
  <c r="T34" i="6"/>
  <c r="S34" i="6"/>
  <c r="S33" i="6"/>
  <c r="T33" i="6"/>
  <c r="R24" i="5"/>
  <c r="V37" i="5"/>
  <c r="V20" i="5"/>
  <c r="V21" i="5"/>
  <c r="P14" i="5"/>
  <c r="T9" i="5"/>
  <c r="U9" i="5"/>
  <c r="U6" i="5"/>
  <c r="T6" i="5"/>
  <c r="S10" i="5"/>
  <c r="R10" i="5"/>
  <c r="U22" i="5"/>
  <c r="T22" i="5"/>
  <c r="V22" i="5" s="1"/>
  <c r="R38" i="5"/>
  <c r="V36" i="5"/>
  <c r="P42" i="5"/>
  <c r="U35" i="5"/>
  <c r="T35" i="5"/>
  <c r="T19" i="5"/>
  <c r="U19" i="5"/>
  <c r="S24" i="5"/>
  <c r="T23" i="5"/>
  <c r="U23" i="5"/>
  <c r="U7" i="5"/>
  <c r="T7" i="5"/>
  <c r="P28" i="5"/>
  <c r="S38" i="5"/>
  <c r="U33" i="5"/>
  <c r="T33" i="5"/>
  <c r="U8" i="5"/>
  <c r="T8" i="5"/>
  <c r="U7" i="3"/>
  <c r="U34" i="2"/>
  <c r="U21" i="2"/>
  <c r="U35" i="2"/>
  <c r="P10" i="2"/>
  <c r="O14" i="2" s="1"/>
  <c r="O10" i="2"/>
  <c r="P37" i="3"/>
  <c r="T8" i="3"/>
  <c r="S8" i="3"/>
  <c r="U20" i="2"/>
  <c r="T6" i="2"/>
  <c r="S6" i="2"/>
  <c r="T7" i="2"/>
  <c r="S7" i="2"/>
  <c r="U20" i="6" l="1"/>
  <c r="U19" i="6"/>
  <c r="U34" i="6"/>
  <c r="U21" i="6"/>
  <c r="V8" i="5"/>
  <c r="V35" i="5"/>
  <c r="P23" i="2"/>
  <c r="O24" i="2"/>
  <c r="U6" i="2"/>
  <c r="P37" i="2"/>
  <c r="O38" i="2"/>
  <c r="Q37" i="3"/>
  <c r="T27" i="3"/>
  <c r="Q27" i="3"/>
  <c r="P27" i="3"/>
  <c r="U27" i="3" s="1"/>
  <c r="U33" i="3"/>
  <c r="S27" i="3"/>
  <c r="Q9" i="3"/>
  <c r="U19" i="3"/>
  <c r="S21" i="3"/>
  <c r="T21" i="3"/>
  <c r="S6" i="3"/>
  <c r="T6" i="3"/>
  <c r="Q23" i="3"/>
  <c r="T5" i="3"/>
  <c r="S5" i="3"/>
  <c r="U5" i="3" s="1"/>
  <c r="S22" i="3"/>
  <c r="T22" i="3"/>
  <c r="S18" i="3"/>
  <c r="T18" i="3"/>
  <c r="R23" i="3"/>
  <c r="R9" i="3"/>
  <c r="S32" i="3"/>
  <c r="T32" i="3"/>
  <c r="U7" i="6"/>
  <c r="U35" i="6"/>
  <c r="U18" i="6"/>
  <c r="O9" i="6"/>
  <c r="P8" i="6"/>
  <c r="P36" i="6"/>
  <c r="O37" i="6"/>
  <c r="P22" i="6"/>
  <c r="O23" i="6"/>
  <c r="R32" i="6"/>
  <c r="U33" i="6"/>
  <c r="U5" i="6"/>
  <c r="V33" i="5"/>
  <c r="V7" i="5"/>
  <c r="V23" i="5"/>
  <c r="V9" i="5"/>
  <c r="U24" i="5"/>
  <c r="T24" i="5"/>
  <c r="R28" i="5"/>
  <c r="Q28" i="5"/>
  <c r="T28" i="5"/>
  <c r="S28" i="5"/>
  <c r="U28" i="5"/>
  <c r="U38" i="5"/>
  <c r="Q42" i="5"/>
  <c r="U42" i="5"/>
  <c r="T42" i="5"/>
  <c r="R42" i="5"/>
  <c r="S42" i="5"/>
  <c r="T10" i="5"/>
  <c r="T38" i="5"/>
  <c r="V19" i="5"/>
  <c r="T14" i="5"/>
  <c r="U14" i="5"/>
  <c r="R14" i="5"/>
  <c r="Q14" i="5"/>
  <c r="S14" i="5"/>
  <c r="U10" i="5"/>
  <c r="V6" i="5"/>
  <c r="U7" i="2"/>
  <c r="S9" i="2"/>
  <c r="U9" i="2" s="1"/>
  <c r="R10" i="2"/>
  <c r="S35" i="3"/>
  <c r="R37" i="3"/>
  <c r="O41" i="3"/>
  <c r="U8" i="3"/>
  <c r="T13" i="3"/>
  <c r="S13" i="3"/>
  <c r="R14" i="2"/>
  <c r="Q14" i="2"/>
  <c r="P14" i="2"/>
  <c r="T14" i="2"/>
  <c r="S14" i="2"/>
  <c r="T10" i="2"/>
  <c r="S34" i="3"/>
  <c r="T34" i="3"/>
  <c r="Q13" i="3"/>
  <c r="P13" i="3"/>
  <c r="R13" i="3"/>
  <c r="Q23" i="2" l="1"/>
  <c r="Q24" i="2" s="1"/>
  <c r="P24" i="2"/>
  <c r="R23" i="2"/>
  <c r="Q37" i="2"/>
  <c r="P38" i="2"/>
  <c r="U21" i="3"/>
  <c r="S9" i="3"/>
  <c r="U9" i="3" s="1"/>
  <c r="T9" i="3"/>
  <c r="T23" i="3"/>
  <c r="U6" i="3"/>
  <c r="U18" i="3"/>
  <c r="S23" i="3"/>
  <c r="O28" i="3" s="1"/>
  <c r="U32" i="3"/>
  <c r="U22" i="3"/>
  <c r="T32" i="6"/>
  <c r="S32" i="6"/>
  <c r="Q22" i="6"/>
  <c r="Q23" i="6" s="1"/>
  <c r="R22" i="6"/>
  <c r="P23" i="6"/>
  <c r="Q36" i="6"/>
  <c r="P37" i="6"/>
  <c r="R8" i="6"/>
  <c r="Q8" i="6"/>
  <c r="Q9" i="6" s="1"/>
  <c r="P9" i="6"/>
  <c r="P29" i="5"/>
  <c r="V38" i="5"/>
  <c r="V24" i="5"/>
  <c r="V10" i="5"/>
  <c r="V14" i="5"/>
  <c r="V28" i="5"/>
  <c r="V42" i="5"/>
  <c r="P43" i="5"/>
  <c r="P15" i="5"/>
  <c r="U34" i="3"/>
  <c r="S10" i="2"/>
  <c r="U10" i="2" s="1"/>
  <c r="R41" i="3"/>
  <c r="P41" i="3"/>
  <c r="T41" i="3"/>
  <c r="S41" i="3"/>
  <c r="T35" i="3"/>
  <c r="S37" i="3"/>
  <c r="U13" i="3"/>
  <c r="U14" i="2"/>
  <c r="Q41" i="3"/>
  <c r="T23" i="2" l="1"/>
  <c r="T24" i="2" s="1"/>
  <c r="S23" i="2"/>
  <c r="R24" i="2"/>
  <c r="O28" i="2"/>
  <c r="O15" i="2"/>
  <c r="T15" i="2" s="1"/>
  <c r="O42" i="2"/>
  <c r="R37" i="2"/>
  <c r="Q38" i="2"/>
  <c r="O14" i="3"/>
  <c r="Q14" i="3" s="1"/>
  <c r="U23" i="3"/>
  <c r="U41" i="3"/>
  <c r="Q28" i="3"/>
  <c r="R28" i="3"/>
  <c r="S28" i="3"/>
  <c r="P28" i="3"/>
  <c r="T28" i="3"/>
  <c r="R14" i="3"/>
  <c r="R36" i="6"/>
  <c r="Q37" i="6"/>
  <c r="U32" i="6"/>
  <c r="O13" i="6"/>
  <c r="O27" i="6"/>
  <c r="T22" i="6"/>
  <c r="T23" i="6" s="1"/>
  <c r="S22" i="6"/>
  <c r="S23" i="6" s="1"/>
  <c r="R23" i="6"/>
  <c r="T8" i="6"/>
  <c r="T9" i="6" s="1"/>
  <c r="S8" i="6"/>
  <c r="S9" i="6" s="1"/>
  <c r="R9" i="6"/>
  <c r="O41" i="6"/>
  <c r="U29" i="5"/>
  <c r="Q29" i="5"/>
  <c r="S29" i="5"/>
  <c r="T29" i="5"/>
  <c r="R29" i="5"/>
  <c r="U15" i="5"/>
  <c r="T15" i="5"/>
  <c r="S15" i="5"/>
  <c r="R15" i="5"/>
  <c r="Q15" i="5"/>
  <c r="Q43" i="5"/>
  <c r="U43" i="5"/>
  <c r="R43" i="5"/>
  <c r="T43" i="5"/>
  <c r="S43" i="5"/>
  <c r="T37" i="3"/>
  <c r="O42" i="3" s="1"/>
  <c r="S42" i="3" s="1"/>
  <c r="U35" i="3"/>
  <c r="O28" i="6" l="1"/>
  <c r="V43" i="5"/>
  <c r="V29" i="5"/>
  <c r="P28" i="2"/>
  <c r="R28" i="2"/>
  <c r="Q28" i="2"/>
  <c r="S28" i="2"/>
  <c r="T28" i="2"/>
  <c r="S24" i="2"/>
  <c r="O29" i="2" s="1"/>
  <c r="U23" i="2"/>
  <c r="U24" i="2" s="1"/>
  <c r="S42" i="2"/>
  <c r="R42" i="2"/>
  <c r="Q42" i="2"/>
  <c r="T42" i="2"/>
  <c r="P42" i="2"/>
  <c r="S37" i="2"/>
  <c r="S38" i="2" s="1"/>
  <c r="R38" i="2"/>
  <c r="T37" i="2"/>
  <c r="T38" i="2" s="1"/>
  <c r="U37" i="2"/>
  <c r="S14" i="3"/>
  <c r="U14" i="3" s="1"/>
  <c r="T14" i="3"/>
  <c r="P14" i="3"/>
  <c r="U28" i="3"/>
  <c r="U9" i="6"/>
  <c r="T28" i="6"/>
  <c r="R28" i="6"/>
  <c r="S28" i="6"/>
  <c r="Q28" i="6"/>
  <c r="P28" i="6"/>
  <c r="O14" i="6"/>
  <c r="T36" i="6"/>
  <c r="T37" i="6" s="1"/>
  <c r="S36" i="6"/>
  <c r="S37" i="6" s="1"/>
  <c r="R37" i="6"/>
  <c r="T13" i="6"/>
  <c r="S13" i="6"/>
  <c r="P13" i="6"/>
  <c r="Q13" i="6"/>
  <c r="R13" i="6"/>
  <c r="T41" i="6"/>
  <c r="R41" i="6"/>
  <c r="S41" i="6"/>
  <c r="Q41" i="6"/>
  <c r="P41" i="6"/>
  <c r="U22" i="6"/>
  <c r="U23" i="6" s="1"/>
  <c r="T27" i="6"/>
  <c r="S27" i="6"/>
  <c r="Q27" i="6"/>
  <c r="R27" i="6"/>
  <c r="P27" i="6"/>
  <c r="U8" i="6"/>
  <c r="V15" i="5"/>
  <c r="U37" i="3"/>
  <c r="P42" i="3"/>
  <c r="T42" i="3"/>
  <c r="Q42" i="3"/>
  <c r="R42" i="3"/>
  <c r="P15" i="2"/>
  <c r="Q15" i="2"/>
  <c r="R15" i="2"/>
  <c r="S15" i="2"/>
  <c r="P29" i="2" l="1"/>
  <c r="T29" i="2"/>
  <c r="S29" i="2"/>
  <c r="Q29" i="2"/>
  <c r="R29" i="2"/>
  <c r="U28" i="2"/>
  <c r="O43" i="2"/>
  <c r="U38" i="2"/>
  <c r="U42" i="2"/>
  <c r="U27" i="6"/>
  <c r="T14" i="6"/>
  <c r="S14" i="6"/>
  <c r="R14" i="6"/>
  <c r="Q14" i="6"/>
  <c r="P14" i="6"/>
  <c r="U13" i="6"/>
  <c r="O42" i="6"/>
  <c r="U37" i="6"/>
  <c r="U28" i="6"/>
  <c r="U41" i="6"/>
  <c r="U36" i="6"/>
  <c r="U42" i="3"/>
  <c r="U15" i="2"/>
  <c r="U29" i="2" l="1"/>
  <c r="T43" i="2"/>
  <c r="Q43" i="2"/>
  <c r="P43" i="2"/>
  <c r="R43" i="2"/>
  <c r="S43" i="2"/>
  <c r="P42" i="6"/>
  <c r="T42" i="6"/>
  <c r="S42" i="6"/>
  <c r="R42" i="6"/>
  <c r="Q42" i="6"/>
  <c r="U14" i="6"/>
  <c r="U43" i="2" l="1"/>
  <c r="U42" i="6"/>
</calcChain>
</file>

<file path=xl/sharedStrings.xml><?xml version="1.0" encoding="utf-8"?>
<sst xmlns="http://schemas.openxmlformats.org/spreadsheetml/2006/main" count="1211" uniqueCount="108">
  <si>
    <t>Population served</t>
  </si>
  <si>
    <t>Very small</t>
  </si>
  <si>
    <t>25-500</t>
  </si>
  <si>
    <t>Small</t>
  </si>
  <si>
    <t>501-3,300</t>
  </si>
  <si>
    <t>Size</t>
  </si>
  <si>
    <t>Medium</t>
  </si>
  <si>
    <t>3,301-10,000</t>
  </si>
  <si>
    <t>Large</t>
  </si>
  <si>
    <t>10,001-100,000</t>
  </si>
  <si>
    <t>Typical average flow (MILLIONS GALLONS/DAY)</t>
  </si>
  <si>
    <t>Flow/year (MGD)</t>
  </si>
  <si>
    <t>Population served midpoint</t>
  </si>
  <si>
    <t>Flow/month (MGD)</t>
  </si>
  <si>
    <t>Capital cost ($/1000 gallons)</t>
  </si>
  <si>
    <t>O&amp;M costs ($/1,000 gallon)</t>
  </si>
  <si>
    <t>Total combined cost ($/1,000 gallons)</t>
  </si>
  <si>
    <t>IX</t>
  </si>
  <si>
    <t>RO</t>
  </si>
  <si>
    <t>Cost per year</t>
  </si>
  <si>
    <t>Flow/year (MG)</t>
  </si>
  <si>
    <t>Flow/month (MG)</t>
  </si>
  <si>
    <t>Cost/year/person</t>
  </si>
  <si>
    <t>Population size</t>
  </si>
  <si>
    <t>LOCATION</t>
  </si>
  <si>
    <t>INDICATOR</t>
  </si>
  <si>
    <t>SUBJECT</t>
  </si>
  <si>
    <t>TIME</t>
  </si>
  <si>
    <t>Value</t>
  </si>
  <si>
    <t>USA</t>
  </si>
  <si>
    <t>CPIFORECAST</t>
  </si>
  <si>
    <t>DEC2020FORECAST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</si>
  <si>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</si>
  <si>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</si>
  <si>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</si>
  <si>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</si>
  <si>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</si>
  <si>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</si>
  <si>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</si>
  <si>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</si>
  <si>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</si>
  <si>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</si>
  <si>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</si>
  <si>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</si>
  <si>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Cost/year (2010 dollars) estimated with 5-year average system violations</t>
  </si>
  <si>
    <t>2020 (2020 dollars)</t>
  </si>
  <si>
    <t>2021 (2021 dollars)</t>
  </si>
  <si>
    <t>2022 (2022 dollars)</t>
  </si>
  <si>
    <t>2023 (2023 dollars)</t>
  </si>
  <si>
    <t>2024 (2024 dollars)</t>
  </si>
  <si>
    <t>2020 dollars (5 years)</t>
  </si>
  <si>
    <t>Real dollars (5 years)</t>
  </si>
  <si>
    <t>Total</t>
  </si>
  <si>
    <t>&lt;=500 served</t>
  </si>
  <si>
    <t>https://data.oecd.org/price/inflation-forecast.htm</t>
  </si>
  <si>
    <t>Taken from Tang et al 2018</t>
  </si>
  <si>
    <t xml:space="preserve">LOW ESTIMATE </t>
  </si>
  <si>
    <t>MEDIUM ESTIMATE</t>
  </si>
  <si>
    <t>HIGH ESTIMATE</t>
  </si>
  <si>
    <t>MY CALCULATIONS</t>
  </si>
  <si>
    <t>Millions of gallons treated/year</t>
  </si>
  <si>
    <t>Number of PWS</t>
  </si>
  <si>
    <t>Very large</t>
  </si>
  <si>
    <t>100,001-250,000</t>
  </si>
  <si>
    <t>Midpoint estimates for costs/$1,000 gallons</t>
  </si>
  <si>
    <t>Low estimates for costs/$1,000 gallons</t>
  </si>
  <si>
    <t>High estimates for costs/$1,000 gallons</t>
  </si>
  <si>
    <t>IX &amp; RO average</t>
  </si>
  <si>
    <t>Total real dollars</t>
  </si>
  <si>
    <t>Total costs</t>
  </si>
  <si>
    <t>Reverse Osmosis</t>
  </si>
  <si>
    <t>Low</t>
  </si>
  <si>
    <t>High</t>
  </si>
  <si>
    <t>ION EXCHANGE</t>
  </si>
  <si>
    <t>COMBINED</t>
  </si>
  <si>
    <t>Total water treated</t>
  </si>
  <si>
    <t>Millions of gallons/year</t>
  </si>
  <si>
    <t xml:space="preserve">High </t>
  </si>
  <si>
    <t>High error</t>
  </si>
  <si>
    <t>Low error</t>
  </si>
  <si>
    <t>500 or less</t>
  </si>
  <si>
    <t>Including capital costs</t>
  </si>
  <si>
    <t>Cost per year O&amp;M</t>
  </si>
  <si>
    <t>Cost/year/person O&amp;M</t>
  </si>
  <si>
    <t>popcat11</t>
  </si>
  <si>
    <t>submissionyear</t>
  </si>
  <si>
    <t>populationservedcount</t>
  </si>
  <si>
    <t>serviceconnectionscount</t>
  </si>
  <si>
    <t>&lt;=100</t>
  </si>
  <si>
    <t>501-1,000</t>
  </si>
  <si>
    <t>10,001-50,000</t>
  </si>
  <si>
    <t>50,001-100,000</t>
  </si>
  <si>
    <t>1,001-3,300</t>
  </si>
  <si>
    <t>101-500</t>
  </si>
  <si>
    <t>popshare</t>
  </si>
  <si>
    <t>Total pop by size</t>
  </si>
  <si>
    <t>low/person</t>
  </si>
  <si>
    <t>med/person</t>
  </si>
  <si>
    <t>high/person</t>
  </si>
  <si>
    <t>COMBINED O&amp;M only</t>
  </si>
  <si>
    <t>Error low</t>
  </si>
  <si>
    <t>Error high</t>
  </si>
  <si>
    <t>3,301 – 10,000</t>
  </si>
  <si>
    <t>10,001 – 100,000</t>
  </si>
  <si>
    <t>100,001 – 250,000</t>
  </si>
  <si>
    <t>501 – 3,300</t>
  </si>
  <si>
    <t>Cost rural</t>
  </si>
  <si>
    <t>Cost 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</si>
</sst>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11"/>
      <color rgb="FF33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7373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3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3" fillId="0" borderId="0" xfId="0" applyFont="1" applyAlignment="1">
      <alignment horizontal="center" vertical="center"/>
    </xf>
    <xf numFmtId="44" fontId="3" fillId="0" borderId="0" xfId="0" applyNumberFormat="1" applyFont="1"/>
    <xf numFmtId="44" fontId="0" fillId="0" borderId="0" xfId="0" applyNumberFormat="1" applyFont="1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2" fillId="2" borderId="0" xfId="0" applyFont="1" applyFill="1"/>
    <xf numFmtId="0" fontId="3" fillId="4" borderId="0" xfId="0" applyFont="1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2" fillId="7" borderId="0" xfId="0" applyFont="1" applyFill="1"/>
    <xf numFmtId="0" fontId="0" fillId="7" borderId="0" xfId="0" applyFill="1"/>
    <xf numFmtId="0" fontId="0" fillId="8" borderId="0" xfId="0" applyFill="1"/>
    <xf numFmtId="0" fontId="3" fillId="8" borderId="0" xfId="0" applyFont="1" applyFill="1" applyAlignment="1">
      <alignment horizontal="center" vertical="center" wrapText="1"/>
    </xf>
    <xf numFmtId="44" fontId="3" fillId="0" borderId="0" xfId="1" applyFont="1"/>
    <xf numFmtId="165" fontId="3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0" fillId="0" borderId="0" xfId="0" applyBorder="1"/>
    <xf numFmtId="165" fontId="0" fillId="0" borderId="0" xfId="1" applyNumberFormat="1" applyFont="1" applyBorder="1"/>
    <xf numFmtId="165" fontId="0" fillId="0" borderId="5" xfId="0" applyNumberFormat="1" applyBorder="1"/>
    <xf numFmtId="165" fontId="0" fillId="0" borderId="5" xfId="1" applyNumberFormat="1" applyFont="1" applyBorder="1"/>
    <xf numFmtId="0" fontId="0" fillId="0" borderId="7" xfId="0" applyBorder="1" applyAlignment="1">
      <alignment horizontal="center" vertical="center"/>
    </xf>
    <xf numFmtId="164" fontId="0" fillId="0" borderId="7" xfId="0" applyNumberFormat="1" applyBorder="1"/>
    <xf numFmtId="0" fontId="0" fillId="0" borderId="7" xfId="0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0" xfId="0" applyFill="1" applyBorder="1"/>
    <xf numFmtId="2" fontId="0" fillId="0" borderId="0" xfId="1" applyNumberFormat="1" applyFont="1"/>
    <xf numFmtId="2" fontId="0" fillId="0" borderId="0" xfId="1" applyNumberFormat="1" applyFont="1" applyBorder="1"/>
    <xf numFmtId="2" fontId="3" fillId="0" borderId="0" xfId="0" applyNumberFormat="1" applyFont="1" applyBorder="1"/>
    <xf numFmtId="2" fontId="3" fillId="0" borderId="0" xfId="0" applyNumberFormat="1" applyFont="1"/>
    <xf numFmtId="165" fontId="0" fillId="0" borderId="0" xfId="0" applyNumberFormat="1" applyBorder="1"/>
    <xf numFmtId="44" fontId="0" fillId="10" borderId="0" xfId="1" applyFont="1" applyFill="1"/>
    <xf numFmtId="44" fontId="0" fillId="0" borderId="0" xfId="1" quotePrefix="1" applyFont="1"/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5" fontId="0" fillId="0" borderId="0" xfId="0" applyNumberFormat="1" applyFont="1"/>
    <xf numFmtId="165" fontId="1" fillId="0" borderId="0" xfId="1" applyNumberFormat="1" applyFont="1"/>
    <xf numFmtId="0" fontId="0" fillId="12" borderId="0" xfId="0" applyFill="1" applyBorder="1"/>
    <xf numFmtId="44" fontId="8" fillId="10" borderId="0" xfId="1" applyFont="1" applyFill="1"/>
    <xf numFmtId="1" fontId="0" fillId="0" borderId="0" xfId="1" applyNumberFormat="1" applyFont="1" applyBorder="1"/>
    <xf numFmtId="1" fontId="3" fillId="0" borderId="0" xfId="0" applyNumberFormat="1" applyFont="1" applyBorder="1"/>
    <xf numFmtId="43" fontId="0" fillId="0" borderId="0" xfId="2" applyFont="1"/>
    <xf numFmtId="166" fontId="0" fillId="0" borderId="0" xfId="2" applyNumberFormat="1" applyFont="1"/>
    <xf numFmtId="166" fontId="0" fillId="0" borderId="0" xfId="0" applyNumberFormat="1"/>
    <xf numFmtId="43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5" xfId="0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Fill="1" applyAlignment="1"/>
    <xf numFmtId="0" fontId="5" fillId="11" borderId="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3DBFF"/>
      <color rgb="FFF7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51342764994008"/>
          <c:y val="3.0517731730859702E-2"/>
          <c:w val="0.83650529894182013"/>
          <c:h val="0.8599298023481583"/>
        </c:manualLayout>
      </c:layout>
      <c:barChart>
        <c:barDir val="col"/>
        <c:grouping val="stacked"/>
        <c:varyColors val="0"/>
        <c:ser>
          <c:idx val="0"/>
          <c:order val="0"/>
          <c:tx>
            <c:v>Operating and maintainance cost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'Aggregate results'!$M$4:$M$8</c:f>
              <c:strCache>
                <c:ptCount val="5"/>
                <c:pt idx="0">
                  <c:v>500 or less</c:v>
                </c:pt>
                <c:pt idx="1">
                  <c:v>501-3,300</c:v>
                </c:pt>
                <c:pt idx="2">
                  <c:v>3,301-10,000</c:v>
                </c:pt>
                <c:pt idx="3">
                  <c:v>10,001-100,000</c:v>
                </c:pt>
                <c:pt idx="4">
                  <c:v>100,001-250,000</c:v>
                </c:pt>
              </c:strCache>
            </c:strRef>
          </c:cat>
          <c:val>
            <c:numRef>
              <c:f>'Aggregate results'!$P$4:$P$8</c:f>
              <c:numCache>
                <c:formatCode>_("$"* #,##0.00_);_("$"* \(#,##0.00\);_("$"* "-"??_);_(@_)</c:formatCode>
                <c:ptCount val="5"/>
                <c:pt idx="0">
                  <c:v>156.89313724213631</c:v>
                </c:pt>
                <c:pt idx="1">
                  <c:v>84.905002563433726</c:v>
                </c:pt>
                <c:pt idx="2">
                  <c:v>12.291835158123009</c:v>
                </c:pt>
                <c:pt idx="3">
                  <c:v>19.006674508898186</c:v>
                </c:pt>
                <c:pt idx="4">
                  <c:v>2.7884979036739161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F-47D5-8D26-A1E05398E7B3}"/>
            </c:ext>
          </c:extLst>
        </c:ser>
        <c:ser>
          <c:idx val="1"/>
          <c:order val="1"/>
          <c:tx>
            <c:v>Capital infrastructure costs</c:v>
          </c:tx>
          <c:spPr>
            <a:solidFill>
              <a:srgbClr val="93DB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'Aggregate results'!$O$11:$O$15</c:f>
                <c:numCache>
                  <c:formatCode>General</c:formatCode>
                  <c:ptCount val="5"/>
                  <c:pt idx="0">
                    <c:v>75.693903738651514</c:v>
                  </c:pt>
                  <c:pt idx="1">
                    <c:v>40.147312499322112</c:v>
                  </c:pt>
                  <c:pt idx="2">
                    <c:v>5.7480632716080668</c:v>
                  </c:pt>
                  <c:pt idx="3">
                    <c:v>8.6666601083792791</c:v>
                  </c:pt>
                  <c:pt idx="4">
                    <c:v>1.4147332174184277</c:v>
                  </c:pt>
                </c:numCache>
              </c:numRef>
            </c:plus>
            <c:minus>
              <c:numRef>
                <c:f>'Aggregate results'!$Q$11:$Q$15</c:f>
                <c:numCache>
                  <c:formatCode>General</c:formatCode>
                  <c:ptCount val="5"/>
                  <c:pt idx="0">
                    <c:v>98.032346719637431</c:v>
                  </c:pt>
                  <c:pt idx="1">
                    <c:v>46.300825841193678</c:v>
                  </c:pt>
                  <c:pt idx="2">
                    <c:v>6.1722122956012493</c:v>
                  </c:pt>
                  <c:pt idx="3">
                    <c:v>7.7106485574094066</c:v>
                  </c:pt>
                  <c:pt idx="4">
                    <c:v>2.316888016896546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'Aggregate results'!$P$11:$P$15</c:f>
              <c:numCache>
                <c:formatCode>_("$"* #,##0.00_);_("$"* \(#,##0.00\);_("$"* "-"??_);_(@_)</c:formatCode>
                <c:ptCount val="5"/>
                <c:pt idx="0">
                  <c:v>98.567462342909053</c:v>
                </c:pt>
                <c:pt idx="1">
                  <c:v>53.279132960787145</c:v>
                </c:pt>
                <c:pt idx="2">
                  <c:v>7.7084249234563176</c:v>
                </c:pt>
                <c:pt idx="3">
                  <c:v>11.902558136888015</c:v>
                </c:pt>
                <c:pt idx="4">
                  <c:v>1.7571458550123105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CF-47D5-8D26-A1E05398E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9848927"/>
        <c:axId val="869854751"/>
      </c:barChart>
      <c:catAx>
        <c:axId val="8698489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Size of population served by public water system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854751"/>
        <c:crosses val="autoZero"/>
        <c:auto val="1"/>
        <c:lblAlgn val="ctr"/>
        <c:lblOffset val="100"/>
        <c:noMultiLvlLbl val="0"/>
      </c:catAx>
      <c:valAx>
        <c:axId val="8698547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2020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84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09337218674442"/>
          <c:y val="0.31667760875939555"/>
          <c:w val="0.27579639159278319"/>
          <c:h val="8.326603588720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cost per person to treat drinking water for nitrates by water system 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'Pop served by popcat11'!$Q$10</c:f>
              <c:strCache>
                <c:ptCount val="1"/>
                <c:pt idx="0">
                  <c:v>med/person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'Pop served by popcat11'!$T$11:$T$15</c:f>
                <c:numCache>
                  <c:formatCode>General</c:formatCode>
                  <c:ptCount val="5"/>
                  <c:pt idx="0">
                    <c:v>4205.5918798643252</c:v>
                  </c:pt>
                  <c:pt idx="1">
                    <c:v>467.09534266021365</c:v>
                  </c:pt>
                  <c:pt idx="2">
                    <c:v>59.274102521859689</c:v>
                  </c:pt>
                  <c:pt idx="3">
                    <c:v>20.502136609347261</c:v>
                  </c:pt>
                  <c:pt idx="4">
                    <c:v>1.9885743858008285</c:v>
                  </c:pt>
                </c:numCache>
              </c:numRef>
            </c:plus>
            <c:minus>
              <c:numRef>
                <c:f>'Pop served by popcat11'!$S$11:$S$15</c:f>
                <c:numCache>
                  <c:formatCode>General</c:formatCode>
                  <c:ptCount val="5"/>
                  <c:pt idx="0">
                    <c:v>3247.2717176598671</c:v>
                  </c:pt>
                  <c:pt idx="1">
                    <c:v>405.01702395280813</c:v>
                  </c:pt>
                  <c:pt idx="2">
                    <c:v>55.200838102449495</c:v>
                  </c:pt>
                  <c:pt idx="3">
                    <c:v>23.044112069928151</c:v>
                  </c:pt>
                  <c:pt idx="4">
                    <c:v>1.2142590485095079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'Pop served by popcat11'!$I$11:$I$15</c:f>
              <c:strCache>
                <c:ptCount val="5"/>
                <c:pt idx="0">
                  <c:v>500 or less</c:v>
                </c:pt>
                <c:pt idx="1">
                  <c:v>501 – 3,300</c:v>
                </c:pt>
                <c:pt idx="2">
                  <c:v>3,301 – 10,000</c:v>
                </c:pt>
                <c:pt idx="3">
                  <c:v>10,001 – 100,000</c:v>
                </c:pt>
                <c:pt idx="4">
                  <c:v>100,001 – 250,000</c:v>
                </c:pt>
              </c:strCache>
            </c:strRef>
          </c:cat>
          <c:val>
            <c:numRef>
              <c:f>'Pop served by popcat11'!$Q$11:$Q$15</c:f>
              <c:numCache>
                <c:formatCode>General</c:formatCode>
                <c:ptCount val="5"/>
                <c:pt idx="0" formatCode="_(&quot;$&quot;* #,##0.00_);_(&quot;$&quot;* \(#,##0.00\);_(&quot;$&quot;* &quot;-&quot;??_);_(@_)">
                  <c:v>4228.5483630591607</c:v>
                </c:pt>
                <c:pt idx="1">
                  <c:v>537.49440565737348</c:v>
                </c:pt>
                <c:pt idx="2">
                  <c:v>74.026936746915553</c:v>
                </c:pt>
                <c:pt idx="3">
                  <c:v>31.648164367273829</c:v>
                </c:pt>
                <c:pt idx="4">
                  <c:v>1.5081502489162393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7-434B-BE68-9A577D4E5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69273791"/>
        <c:axId val="1569275039"/>
      </c:barChart>
      <c:catAx>
        <c:axId val="15692737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population size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275039"/>
        <c:crosses val="autoZero"/>
        <c:auto val="1"/>
        <c:lblAlgn val="ctr"/>
        <c:lblOffset val="100"/>
        <c:noMultiLvlLbl val="0"/>
      </c:catAx>
      <c:valAx>
        <c:axId val="1569275039"/>
        <c:scaling>
          <c:orientation val="minMax"/>
          <c:max val="8500"/>
          <c:min val="0"/>
        </c:scaling>
        <c:delete val="0"/>
        <c:axPos val="b"/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27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F0-4A12-AA3C-62D125BDEF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F0-4A12-AA3C-62D125BDEF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F0-4A12-AA3C-62D125BDEF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F0-4A12-AA3C-62D125BDEF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F0-4A12-AA3C-62D125BDEF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'Pop served by popcat11'!$O$11:$O$15</c:f>
              <c:numCache>
                <c:formatCode>General</c:formatCode>
                <c:ptCount val="5"/>
                <c:pt idx="0">
                  <c:v>4662</c:v>
                </c:pt>
                <c:pt idx="1">
                  <c:v>19825</c:v>
                </c:pt>
                <c:pt idx="2">
                  <c:v>20826</c:v>
                </c:pt>
                <c:pt idx="3">
                  <c:v>75218</c:v>
                </c:pt>
                <c:pt idx="4">
                  <c:v>233020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F-498E-88E3-C5E030BE9B0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571499</xdr:colOff>
      <xdr:row>16</xdr:row>
      <xdr:rowOff>47625</xdr:rowOff>
    </xdr:from>
    <xdr:to>
      <xdr:col>22</xdr:col>
      <xdr:colOff>257174</xdr:colOff>
      <xdr:row>52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8CD381-8044-4091-8682-039327042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495299</xdr:colOff>
      <xdr:row>30</xdr:row>
      <xdr:rowOff>80961</xdr:rowOff>
    </xdr:from>
    <xdr:to>
      <xdr:col>20</xdr:col>
      <xdr:colOff>276225</xdr:colOff>
      <xdr:row>53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9DE930-9BC6-481B-B70A-445EC65F0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528637</xdr:colOff>
      <xdr:row>32</xdr:row>
      <xdr:rowOff>42862</xdr:rowOff>
    </xdr:from>
    <xdr:to>
      <xdr:col>10</xdr:col>
      <xdr:colOff>661987</xdr:colOff>
      <xdr:row>46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005BDC-727C-4331-A2FD-370A4A61C4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7D39B-80DE-46EF-89C6-99390E94DCFB}">
  <dimension ref="B1:AB38"/>
  <sheetViews>
    <sheetView workbookViewId="0">
      <selection activeCell="O3" sqref="N3:O3"/>
    </sheetView>
  </sheetViews>
  <sheetFormatPr defaultRowHeight="15" x14ac:dyDescent="0.25"/>
  <cols>
    <col min="2" max="2" width="12.7109375" customWidth="1"/>
    <col min="3" max="3" width="15.28515625" customWidth="1"/>
    <col min="4" max="4" width="16.5703125" customWidth="1"/>
    <col min="5" max="5" width="21.42578125" customWidth="1"/>
    <col min="6" max="6" width="18.140625" customWidth="1"/>
    <col min="7" max="7" width="11.28515625" customWidth="1"/>
    <col min="8" max="8" width="13.140625" customWidth="1"/>
    <col min="9" max="9" width="15.28515625" customWidth="1"/>
    <col min="10" max="10" width="14.85546875" customWidth="1"/>
    <col min="11" max="11" width="18.140625" customWidth="1"/>
    <col min="12" max="12" width="19" customWidth="1"/>
    <col min="13" max="13" width="17.85546875" customWidth="1"/>
    <col min="14" max="14" width="10.7109375" customWidth="1"/>
    <col min="15" max="15" width="15.5703125" customWidth="1"/>
    <col min="17" max="17" width="12.140625" customWidth="1"/>
    <col min="18" max="18" width="13.28515625" customWidth="1"/>
    <col min="19" max="19" width="11.28515625" customWidth="1"/>
    <col min="20" max="20" width="15.5703125" customWidth="1"/>
    <col min="21" max="21" width="14.85546875" customWidth="1"/>
    <col min="22" max="22" width="11.5703125" customWidth="1"/>
    <col min="23" max="23" width="11.28515625" customWidth="1"/>
    <col min="24" max="24" width="12" customWidth="1"/>
    <col min="25" max="25" width="11.140625" customWidth="1"/>
    <col min="26" max="26" width="13.28515625" customWidth="1"/>
    <col min="27" max="27" width="11.85546875" customWidth="1"/>
    <col min="28" max="28" width="11.5703125" customWidth="1"/>
  </cols>
  <sheetData>
    <row r="1" spans="2:28" ht="15.75" thickBot="1" x14ac:dyDescent="0.3"/>
    <row r="2" spans="2:28" x14ac:dyDescent="0.25">
      <c r="B2" s="77" t="s">
        <v>17</v>
      </c>
      <c r="C2" s="71" t="s">
        <v>65</v>
      </c>
      <c r="D2" s="71"/>
      <c r="E2" s="71"/>
      <c r="F2" s="71"/>
      <c r="G2" s="71"/>
      <c r="H2" s="71"/>
      <c r="I2" s="71"/>
      <c r="J2" s="71"/>
      <c r="K2" s="71"/>
      <c r="L2" s="71"/>
      <c r="M2" s="72"/>
      <c r="P2" s="65"/>
      <c r="Q2" s="68" t="s">
        <v>67</v>
      </c>
      <c r="R2" s="71" t="s">
        <v>65</v>
      </c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2:28" ht="60" x14ac:dyDescent="0.25">
      <c r="B3" s="78"/>
      <c r="C3" s="28" t="s">
        <v>5</v>
      </c>
      <c r="D3" s="28" t="s">
        <v>0</v>
      </c>
      <c r="E3" s="28" t="s">
        <v>12</v>
      </c>
      <c r="F3" s="28" t="s">
        <v>10</v>
      </c>
      <c r="G3" s="28" t="s">
        <v>20</v>
      </c>
      <c r="H3" s="28" t="s">
        <v>21</v>
      </c>
      <c r="I3" s="28" t="s">
        <v>14</v>
      </c>
      <c r="J3" s="28" t="s">
        <v>15</v>
      </c>
      <c r="K3" s="28" t="s">
        <v>16</v>
      </c>
      <c r="L3" s="28" t="s">
        <v>19</v>
      </c>
      <c r="M3" s="29" t="s">
        <v>22</v>
      </c>
      <c r="N3" s="66" t="s">
        <v>82</v>
      </c>
      <c r="O3" s="2" t="s">
        <v>83</v>
      </c>
      <c r="Q3" s="69"/>
      <c r="R3" s="28" t="s">
        <v>5</v>
      </c>
      <c r="S3" s="28" t="s">
        <v>0</v>
      </c>
      <c r="T3" s="28" t="s">
        <v>12</v>
      </c>
      <c r="U3" s="28" t="s">
        <v>10</v>
      </c>
      <c r="V3" s="28" t="s">
        <v>20</v>
      </c>
      <c r="W3" s="28" t="s">
        <v>21</v>
      </c>
      <c r="X3" s="28" t="s">
        <v>14</v>
      </c>
      <c r="Y3" s="28" t="s">
        <v>15</v>
      </c>
      <c r="Z3" s="28" t="s">
        <v>16</v>
      </c>
      <c r="AA3" s="28" t="s">
        <v>19</v>
      </c>
      <c r="AB3" s="29" t="s">
        <v>22</v>
      </c>
    </row>
    <row r="4" spans="2:28" x14ac:dyDescent="0.25">
      <c r="B4" s="78"/>
      <c r="C4" s="30" t="s">
        <v>1</v>
      </c>
      <c r="D4" s="30" t="s">
        <v>2</v>
      </c>
      <c r="E4" s="30">
        <f>(500-25)/2</f>
        <v>237.5</v>
      </c>
      <c r="F4" s="30">
        <f>(0.17-0.009)/2</f>
        <v>8.0500000000000002E-2</v>
      </c>
      <c r="G4" s="31">
        <f>F4*365</f>
        <v>29.3825</v>
      </c>
      <c r="H4" s="31">
        <f>F4*30</f>
        <v>2.415</v>
      </c>
      <c r="I4" s="32">
        <v>0.05</v>
      </c>
      <c r="J4" s="32">
        <v>0.28000000000000003</v>
      </c>
      <c r="K4" s="32">
        <v>0.62</v>
      </c>
      <c r="L4" s="33">
        <f>G4*K4*1000</f>
        <v>18217.150000000001</v>
      </c>
      <c r="M4" s="34">
        <f>L4/E4</f>
        <v>76.703789473684211</v>
      </c>
      <c r="N4" s="4">
        <f>J4*G4*1000</f>
        <v>8227.1</v>
      </c>
      <c r="O4" s="4">
        <f>N4/E4</f>
        <v>34.640421052631581</v>
      </c>
      <c r="Q4" s="69"/>
      <c r="R4" s="30" t="s">
        <v>1</v>
      </c>
      <c r="S4" s="30" t="s">
        <v>2</v>
      </c>
      <c r="T4" s="30">
        <f>(500-25)/2</f>
        <v>237.5</v>
      </c>
      <c r="U4" s="30">
        <f>(0.17-0.009)/2</f>
        <v>8.0500000000000002E-2</v>
      </c>
      <c r="V4" s="31">
        <f>U4*365</f>
        <v>29.3825</v>
      </c>
      <c r="W4" s="31">
        <f>U4*30</f>
        <v>2.415</v>
      </c>
      <c r="X4" s="32"/>
      <c r="Y4" s="32"/>
      <c r="Z4" s="32"/>
      <c r="AA4" s="33">
        <f>V4*1.97*1000</f>
        <v>57883.525000000001</v>
      </c>
      <c r="AB4" s="34">
        <f>AA4/T4</f>
        <v>243.7201052631579</v>
      </c>
    </row>
    <row r="5" spans="2:28" x14ac:dyDescent="0.25">
      <c r="B5" s="78"/>
      <c r="C5" s="30" t="s">
        <v>3</v>
      </c>
      <c r="D5" s="30" t="s">
        <v>4</v>
      </c>
      <c r="E5" s="30">
        <f>(3330-501)/2</f>
        <v>1414.5</v>
      </c>
      <c r="F5" s="30">
        <f>(1.09-0.017)/2</f>
        <v>0.53650000000000009</v>
      </c>
      <c r="G5" s="31">
        <f t="shared" ref="G5:G7" si="0">F5*365</f>
        <v>195.82250000000002</v>
      </c>
      <c r="H5" s="31">
        <f t="shared" ref="H5:H7" si="1">F5*30</f>
        <v>16.095000000000002</v>
      </c>
      <c r="I5" s="32">
        <v>0.08</v>
      </c>
      <c r="J5" s="32">
        <v>0.15</v>
      </c>
      <c r="K5" s="32">
        <v>0.34</v>
      </c>
      <c r="L5" s="33">
        <f t="shared" ref="L5:L7" si="2">G5*K5*1000</f>
        <v>66579.650000000009</v>
      </c>
      <c r="M5" s="34">
        <f t="shared" ref="M5:M7" si="3">L5/E5</f>
        <v>47.069388476493465</v>
      </c>
      <c r="N5" s="4">
        <f t="shared" ref="N5:N38" si="4">J5*G5*1000</f>
        <v>29373.375000000004</v>
      </c>
      <c r="O5" s="4">
        <f t="shared" ref="O5:O38" si="5">N5/E5</f>
        <v>20.765906680805941</v>
      </c>
      <c r="Q5" s="69"/>
      <c r="R5" s="30" t="s">
        <v>3</v>
      </c>
      <c r="S5" s="30" t="s">
        <v>4</v>
      </c>
      <c r="T5" s="30">
        <f>(3330-501)/2</f>
        <v>1414.5</v>
      </c>
      <c r="U5" s="30">
        <f>(1.09-0.017)/2</f>
        <v>0.53650000000000009</v>
      </c>
      <c r="V5" s="31">
        <f t="shared" ref="V5:V7" si="6">U5*365</f>
        <v>195.82250000000002</v>
      </c>
      <c r="W5" s="31">
        <f t="shared" ref="W5:W7" si="7">U5*30</f>
        <v>16.095000000000002</v>
      </c>
      <c r="X5" s="32"/>
      <c r="Y5" s="32"/>
      <c r="Z5" s="32"/>
      <c r="AA5" s="33">
        <f t="shared" ref="AA5:AA7" si="8">V5*1.97*1000</f>
        <v>385770.32500000001</v>
      </c>
      <c r="AB5" s="34">
        <f t="shared" ref="AB5:AB7" si="9">AA5/T5</f>
        <v>272.72557440791797</v>
      </c>
    </row>
    <row r="6" spans="2:28" x14ac:dyDescent="0.25">
      <c r="B6" s="78"/>
      <c r="C6" s="30" t="s">
        <v>6</v>
      </c>
      <c r="D6" s="30" t="s">
        <v>7</v>
      </c>
      <c r="E6" s="30">
        <f>(10000-3301)/2</f>
        <v>3349.5</v>
      </c>
      <c r="F6" s="30">
        <f>(3.21-1.09)/2</f>
        <v>1.06</v>
      </c>
      <c r="G6" s="31">
        <f t="shared" si="0"/>
        <v>386.90000000000003</v>
      </c>
      <c r="H6" s="31">
        <f t="shared" si="1"/>
        <v>31.8</v>
      </c>
      <c r="I6" s="32">
        <v>0.06</v>
      </c>
      <c r="J6" s="32">
        <v>0.12</v>
      </c>
      <c r="K6" s="32">
        <v>0.36</v>
      </c>
      <c r="L6" s="33">
        <f t="shared" si="2"/>
        <v>139284.00000000003</v>
      </c>
      <c r="M6" s="34">
        <f t="shared" si="3"/>
        <v>41.583519928347521</v>
      </c>
      <c r="N6" s="4">
        <f t="shared" si="4"/>
        <v>46428.000000000007</v>
      </c>
      <c r="O6" s="4">
        <f t="shared" si="5"/>
        <v>13.861173309449173</v>
      </c>
      <c r="Q6" s="69"/>
      <c r="R6" s="30" t="s">
        <v>6</v>
      </c>
      <c r="S6" s="30" t="s">
        <v>7</v>
      </c>
      <c r="T6" s="30">
        <f>(10000-3301)/2</f>
        <v>3349.5</v>
      </c>
      <c r="U6" s="30">
        <f>(3.21-1.09)/2</f>
        <v>1.06</v>
      </c>
      <c r="V6" s="31">
        <f t="shared" si="6"/>
        <v>386.90000000000003</v>
      </c>
      <c r="W6" s="31">
        <f t="shared" si="7"/>
        <v>31.8</v>
      </c>
      <c r="X6" s="32"/>
      <c r="Y6" s="32"/>
      <c r="Z6" s="32"/>
      <c r="AA6" s="33">
        <f t="shared" si="8"/>
        <v>762193.00000000012</v>
      </c>
      <c r="AB6" s="34">
        <f t="shared" si="9"/>
        <v>227.55426183012392</v>
      </c>
    </row>
    <row r="7" spans="2:28" x14ac:dyDescent="0.25">
      <c r="B7" s="78"/>
      <c r="C7" s="30" t="s">
        <v>8</v>
      </c>
      <c r="D7" s="30" t="s">
        <v>9</v>
      </c>
      <c r="E7" s="30">
        <f>(100000-10001)/2</f>
        <v>44999.5</v>
      </c>
      <c r="F7" s="30">
        <f>(30.45-3.21)/2</f>
        <v>13.62</v>
      </c>
      <c r="G7" s="31">
        <f t="shared" si="0"/>
        <v>4971.2999999999993</v>
      </c>
      <c r="H7" s="31">
        <f t="shared" si="1"/>
        <v>408.59999999999997</v>
      </c>
      <c r="I7" s="32">
        <v>0.09</v>
      </c>
      <c r="J7" s="32">
        <v>0.13</v>
      </c>
      <c r="K7" s="32">
        <v>0.22</v>
      </c>
      <c r="L7" s="33">
        <f t="shared" si="2"/>
        <v>1093686</v>
      </c>
      <c r="M7" s="34">
        <f t="shared" si="3"/>
        <v>24.304403382259803</v>
      </c>
      <c r="N7" s="4">
        <f t="shared" si="4"/>
        <v>646268.99999999988</v>
      </c>
      <c r="O7" s="4">
        <f t="shared" si="5"/>
        <v>14.361692907698972</v>
      </c>
      <c r="Q7" s="69"/>
      <c r="R7" s="30" t="s">
        <v>8</v>
      </c>
      <c r="S7" s="30" t="s">
        <v>9</v>
      </c>
      <c r="T7" s="30">
        <f>(100000-10001)/2</f>
        <v>44999.5</v>
      </c>
      <c r="U7" s="30">
        <f>(30.45-3.21)/2</f>
        <v>13.62</v>
      </c>
      <c r="V7" s="31">
        <f t="shared" si="6"/>
        <v>4971.2999999999993</v>
      </c>
      <c r="W7" s="31">
        <f t="shared" si="7"/>
        <v>408.59999999999997</v>
      </c>
      <c r="X7" s="32"/>
      <c r="Y7" s="32"/>
      <c r="Z7" s="32"/>
      <c r="AA7" s="33">
        <f t="shared" si="8"/>
        <v>9793461</v>
      </c>
      <c r="AB7" s="34">
        <f t="shared" si="9"/>
        <v>217.6348848320537</v>
      </c>
    </row>
    <row r="8" spans="2:28" x14ac:dyDescent="0.25">
      <c r="B8" s="78"/>
      <c r="C8" s="73" t="s">
        <v>64</v>
      </c>
      <c r="D8" s="73"/>
      <c r="E8" s="73"/>
      <c r="F8" s="73"/>
      <c r="G8" s="73"/>
      <c r="H8" s="73"/>
      <c r="I8" s="73"/>
      <c r="J8" s="73"/>
      <c r="K8" s="73"/>
      <c r="L8" s="73"/>
      <c r="M8" s="74"/>
      <c r="N8" s="4"/>
      <c r="O8" s="4"/>
      <c r="Q8" s="69"/>
      <c r="R8" s="73" t="s">
        <v>64</v>
      </c>
      <c r="S8" s="73"/>
      <c r="T8" s="73"/>
      <c r="U8" s="73"/>
      <c r="V8" s="73"/>
      <c r="W8" s="73"/>
      <c r="X8" s="73"/>
      <c r="Y8" s="73"/>
      <c r="Z8" s="73"/>
      <c r="AA8" s="73"/>
      <c r="AB8" s="74"/>
    </row>
    <row r="9" spans="2:28" ht="60" x14ac:dyDescent="0.25">
      <c r="B9" s="78"/>
      <c r="C9" s="28" t="s">
        <v>5</v>
      </c>
      <c r="D9" s="28" t="s">
        <v>0</v>
      </c>
      <c r="E9" s="28" t="s">
        <v>12</v>
      </c>
      <c r="F9" s="28" t="s">
        <v>10</v>
      </c>
      <c r="G9" s="28" t="s">
        <v>11</v>
      </c>
      <c r="H9" s="28" t="s">
        <v>13</v>
      </c>
      <c r="I9" s="28" t="s">
        <v>14</v>
      </c>
      <c r="J9" s="28" t="s">
        <v>15</v>
      </c>
      <c r="K9" s="28" t="s">
        <v>16</v>
      </c>
      <c r="L9" s="28" t="s">
        <v>19</v>
      </c>
      <c r="M9" s="29" t="s">
        <v>22</v>
      </c>
      <c r="N9" s="4"/>
      <c r="O9" s="4"/>
      <c r="Q9" s="69"/>
      <c r="R9" s="28" t="s">
        <v>5</v>
      </c>
      <c r="S9" s="28" t="s">
        <v>0</v>
      </c>
      <c r="T9" s="28" t="s">
        <v>12</v>
      </c>
      <c r="U9" s="28" t="s">
        <v>10</v>
      </c>
      <c r="V9" s="28" t="s">
        <v>11</v>
      </c>
      <c r="W9" s="28" t="s">
        <v>13</v>
      </c>
      <c r="X9" s="28" t="s">
        <v>14</v>
      </c>
      <c r="Y9" s="28" t="s">
        <v>15</v>
      </c>
      <c r="Z9" s="28" t="s">
        <v>16</v>
      </c>
      <c r="AA9" s="28" t="s">
        <v>19</v>
      </c>
      <c r="AB9" s="29" t="s">
        <v>22</v>
      </c>
    </row>
    <row r="10" spans="2:28" x14ac:dyDescent="0.25">
      <c r="B10" s="78"/>
      <c r="C10" s="30" t="s">
        <v>1</v>
      </c>
      <c r="D10" s="30" t="s">
        <v>2</v>
      </c>
      <c r="E10" s="30">
        <f>(500-25)/2</f>
        <v>237.5</v>
      </c>
      <c r="F10" s="30">
        <f>(0.17-0.009)/2</f>
        <v>8.0500000000000002E-2</v>
      </c>
      <c r="G10" s="31">
        <f>F10*365</f>
        <v>29.3825</v>
      </c>
      <c r="H10" s="31">
        <f>F10*30</f>
        <v>2.415</v>
      </c>
      <c r="I10" s="32">
        <v>0.75</v>
      </c>
      <c r="J10" s="32">
        <v>1.22</v>
      </c>
      <c r="K10" s="32">
        <v>1.97</v>
      </c>
      <c r="L10" s="33">
        <f>G10*K10*1000</f>
        <v>57883.525000000001</v>
      </c>
      <c r="M10" s="35">
        <f>L10/E10</f>
        <v>243.7201052631579</v>
      </c>
      <c r="N10" s="4">
        <f t="shared" si="4"/>
        <v>35846.649999999994</v>
      </c>
      <c r="O10" s="4">
        <f t="shared" si="5"/>
        <v>150.93326315789471</v>
      </c>
      <c r="Q10" s="69"/>
      <c r="R10" s="30" t="s">
        <v>1</v>
      </c>
      <c r="S10" s="30" t="s">
        <v>2</v>
      </c>
      <c r="T10" s="30">
        <f>(500-25)/2</f>
        <v>237.5</v>
      </c>
      <c r="U10" s="30">
        <f>(0.17-0.009)/2</f>
        <v>8.0500000000000002E-2</v>
      </c>
      <c r="V10" s="31">
        <f>U10*365</f>
        <v>29.3825</v>
      </c>
      <c r="W10" s="31">
        <f>U10*30</f>
        <v>2.415</v>
      </c>
      <c r="X10" s="32"/>
      <c r="Y10" s="32"/>
      <c r="Z10" s="32"/>
      <c r="AA10" s="33">
        <f>V10*Z10*1000</f>
        <v>0</v>
      </c>
      <c r="AB10" s="35">
        <f>AA10/T10</f>
        <v>0</v>
      </c>
    </row>
    <row r="11" spans="2:28" x14ac:dyDescent="0.25">
      <c r="B11" s="78"/>
      <c r="C11" s="30" t="s">
        <v>3</v>
      </c>
      <c r="D11" s="30" t="s">
        <v>4</v>
      </c>
      <c r="E11" s="30">
        <f>(3330-501)/2</f>
        <v>1414.5</v>
      </c>
      <c r="F11" s="30">
        <f>(1.09-0.017)/2</f>
        <v>0.53650000000000009</v>
      </c>
      <c r="G11" s="31">
        <f t="shared" ref="G11:G13" si="10">F11*365</f>
        <v>195.82250000000002</v>
      </c>
      <c r="H11" s="31">
        <f t="shared" ref="H11:H13" si="11">F11*30</f>
        <v>16.095000000000002</v>
      </c>
      <c r="I11" s="32">
        <v>0.15</v>
      </c>
      <c r="J11" s="32">
        <v>0.87</v>
      </c>
      <c r="K11" s="32">
        <v>1.05</v>
      </c>
      <c r="L11" s="33">
        <f t="shared" ref="L11:L13" si="12">G11*K11*1000</f>
        <v>205613.62500000003</v>
      </c>
      <c r="M11" s="35">
        <f t="shared" ref="M11:M13" si="13">L11/E11</f>
        <v>145.3613467656416</v>
      </c>
      <c r="N11" s="4">
        <f t="shared" si="4"/>
        <v>170365.57500000001</v>
      </c>
      <c r="O11" s="4">
        <f t="shared" si="5"/>
        <v>120.44225874867445</v>
      </c>
      <c r="Q11" s="69"/>
      <c r="R11" s="30" t="s">
        <v>3</v>
      </c>
      <c r="S11" s="30" t="s">
        <v>4</v>
      </c>
      <c r="T11" s="30">
        <f>(3330-501)/2</f>
        <v>1414.5</v>
      </c>
      <c r="U11" s="30">
        <f>(1.09-0.017)/2</f>
        <v>0.53650000000000009</v>
      </c>
      <c r="V11" s="31">
        <f t="shared" ref="V11:V13" si="14">U11*365</f>
        <v>195.82250000000002</v>
      </c>
      <c r="W11" s="31">
        <f t="shared" ref="W11:W13" si="15">U11*30</f>
        <v>16.095000000000002</v>
      </c>
      <c r="X11" s="32"/>
      <c r="Y11" s="32"/>
      <c r="Z11" s="32"/>
      <c r="AA11" s="33">
        <f t="shared" ref="AA11:AA13" si="16">V11*Z11*1000</f>
        <v>0</v>
      </c>
      <c r="AB11" s="35">
        <f t="shared" ref="AB11:AB13" si="17">AA11/T11</f>
        <v>0</v>
      </c>
    </row>
    <row r="12" spans="2:28" x14ac:dyDescent="0.25">
      <c r="B12" s="78"/>
      <c r="C12" s="30" t="s">
        <v>6</v>
      </c>
      <c r="D12" s="30" t="s">
        <v>7</v>
      </c>
      <c r="E12" s="30">
        <f>(10000-3301)/2</f>
        <v>3349.5</v>
      </c>
      <c r="F12" s="30">
        <f>(3.21-1.09)/2</f>
        <v>1.06</v>
      </c>
      <c r="G12" s="31">
        <f t="shared" si="10"/>
        <v>386.90000000000003</v>
      </c>
      <c r="H12" s="31">
        <f t="shared" si="11"/>
        <v>31.8</v>
      </c>
      <c r="I12" s="32">
        <v>0.19</v>
      </c>
      <c r="J12" s="32">
        <v>0.84</v>
      </c>
      <c r="K12" s="32">
        <v>1.06</v>
      </c>
      <c r="L12" s="33">
        <f t="shared" si="12"/>
        <v>410114.00000000006</v>
      </c>
      <c r="M12" s="35">
        <f t="shared" si="13"/>
        <v>122.4403642334677</v>
      </c>
      <c r="N12" s="4">
        <f t="shared" si="4"/>
        <v>324996.00000000006</v>
      </c>
      <c r="O12" s="4">
        <f t="shared" si="5"/>
        <v>97.028213166144212</v>
      </c>
      <c r="Q12" s="69"/>
      <c r="R12" s="30" t="s">
        <v>6</v>
      </c>
      <c r="S12" s="30" t="s">
        <v>7</v>
      </c>
      <c r="T12" s="30">
        <f>(10000-3301)/2</f>
        <v>3349.5</v>
      </c>
      <c r="U12" s="30">
        <f>(3.21-1.09)/2</f>
        <v>1.06</v>
      </c>
      <c r="V12" s="31">
        <f t="shared" si="14"/>
        <v>386.90000000000003</v>
      </c>
      <c r="W12" s="31">
        <f t="shared" si="15"/>
        <v>31.8</v>
      </c>
      <c r="X12" s="32"/>
      <c r="Y12" s="32"/>
      <c r="Z12" s="32"/>
      <c r="AA12" s="33">
        <f t="shared" si="16"/>
        <v>0</v>
      </c>
      <c r="AB12" s="35">
        <f t="shared" si="17"/>
        <v>0</v>
      </c>
    </row>
    <row r="13" spans="2:28" x14ac:dyDescent="0.25">
      <c r="B13" s="78"/>
      <c r="C13" s="30" t="s">
        <v>8</v>
      </c>
      <c r="D13" s="30" t="s">
        <v>9</v>
      </c>
      <c r="E13" s="30">
        <f>(100000-10001)/2</f>
        <v>44999.5</v>
      </c>
      <c r="F13" s="30">
        <f>(30.45-3.21)/2</f>
        <v>13.62</v>
      </c>
      <c r="G13" s="31">
        <f t="shared" si="10"/>
        <v>4971.2999999999993</v>
      </c>
      <c r="H13" s="31">
        <f t="shared" si="11"/>
        <v>408.59999999999997</v>
      </c>
      <c r="I13" s="32">
        <v>0.25</v>
      </c>
      <c r="J13" s="32">
        <v>0.66</v>
      </c>
      <c r="K13" s="32">
        <v>0.97</v>
      </c>
      <c r="L13" s="33">
        <f t="shared" si="12"/>
        <v>4822160.9999999991</v>
      </c>
      <c r="M13" s="35">
        <f t="shared" si="13"/>
        <v>107.16032400360002</v>
      </c>
      <c r="N13" s="4">
        <f t="shared" si="4"/>
        <v>3281057.9999999995</v>
      </c>
      <c r="O13" s="4">
        <f t="shared" si="5"/>
        <v>72.913210146779392</v>
      </c>
      <c r="Q13" s="69"/>
      <c r="R13" s="30" t="s">
        <v>8</v>
      </c>
      <c r="S13" s="30" t="s">
        <v>9</v>
      </c>
      <c r="T13" s="30">
        <f>(100000-10001)/2</f>
        <v>44999.5</v>
      </c>
      <c r="U13" s="30">
        <f>(30.45-3.21)/2</f>
        <v>13.62</v>
      </c>
      <c r="V13" s="31">
        <f t="shared" si="14"/>
        <v>4971.2999999999993</v>
      </c>
      <c r="W13" s="31">
        <f t="shared" si="15"/>
        <v>408.59999999999997</v>
      </c>
      <c r="X13" s="32"/>
      <c r="Y13" s="32"/>
      <c r="Z13" s="32"/>
      <c r="AA13" s="33">
        <f t="shared" si="16"/>
        <v>0</v>
      </c>
      <c r="AB13" s="35">
        <f t="shared" si="17"/>
        <v>0</v>
      </c>
    </row>
    <row r="14" spans="2:28" x14ac:dyDescent="0.25">
      <c r="B14" s="78"/>
      <c r="C14" s="75" t="s">
        <v>66</v>
      </c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4"/>
      <c r="O14" s="4"/>
      <c r="Q14" s="69"/>
      <c r="R14" s="75" t="s">
        <v>66</v>
      </c>
      <c r="S14" s="75"/>
      <c r="T14" s="75"/>
      <c r="U14" s="75"/>
      <c r="V14" s="75"/>
      <c r="W14" s="75"/>
      <c r="X14" s="75"/>
      <c r="Y14" s="75"/>
      <c r="Z14" s="75"/>
      <c r="AA14" s="75"/>
      <c r="AB14" s="76"/>
    </row>
    <row r="15" spans="2:28" ht="60" x14ac:dyDescent="0.25">
      <c r="B15" s="78"/>
      <c r="C15" s="28" t="s">
        <v>5</v>
      </c>
      <c r="D15" s="28" t="s">
        <v>0</v>
      </c>
      <c r="E15" s="28" t="s">
        <v>12</v>
      </c>
      <c r="F15" s="28" t="s">
        <v>10</v>
      </c>
      <c r="G15" s="28" t="s">
        <v>11</v>
      </c>
      <c r="H15" s="28" t="s">
        <v>13</v>
      </c>
      <c r="I15" s="28" t="s">
        <v>14</v>
      </c>
      <c r="J15" s="28" t="s">
        <v>15</v>
      </c>
      <c r="K15" s="28" t="s">
        <v>16</v>
      </c>
      <c r="L15" s="28" t="s">
        <v>19</v>
      </c>
      <c r="M15" s="29" t="s">
        <v>22</v>
      </c>
      <c r="N15" s="4"/>
      <c r="O15" s="4"/>
      <c r="Q15" s="69"/>
      <c r="R15" s="28" t="s">
        <v>5</v>
      </c>
      <c r="S15" s="28" t="s">
        <v>0</v>
      </c>
      <c r="T15" s="28" t="s">
        <v>12</v>
      </c>
      <c r="U15" s="28" t="s">
        <v>10</v>
      </c>
      <c r="V15" s="28" t="s">
        <v>11</v>
      </c>
      <c r="W15" s="28" t="s">
        <v>13</v>
      </c>
      <c r="X15" s="28" t="s">
        <v>14</v>
      </c>
      <c r="Y15" s="28" t="s">
        <v>15</v>
      </c>
      <c r="Z15" s="28" t="s">
        <v>16</v>
      </c>
      <c r="AA15" s="28" t="s">
        <v>19</v>
      </c>
      <c r="AB15" s="29" t="s">
        <v>22</v>
      </c>
    </row>
    <row r="16" spans="2:28" x14ac:dyDescent="0.25">
      <c r="B16" s="78"/>
      <c r="C16" s="30" t="s">
        <v>1</v>
      </c>
      <c r="D16" s="30" t="s">
        <v>2</v>
      </c>
      <c r="E16" s="30">
        <f>(500-25)/2</f>
        <v>237.5</v>
      </c>
      <c r="F16" s="30">
        <f>(0.17-0.009)/2</f>
        <v>8.0500000000000002E-2</v>
      </c>
      <c r="G16" s="31">
        <f>F16*365</f>
        <v>29.3825</v>
      </c>
      <c r="H16" s="31">
        <f>F16*30</f>
        <v>2.415</v>
      </c>
      <c r="I16" s="32">
        <v>1.53</v>
      </c>
      <c r="J16" s="32">
        <v>3.81</v>
      </c>
      <c r="K16" s="32">
        <v>4.5999999999999996</v>
      </c>
      <c r="L16" s="33">
        <f>G16*K16*1000</f>
        <v>135159.49999999997</v>
      </c>
      <c r="M16" s="35">
        <f>L16/E16</f>
        <v>569.09263157894725</v>
      </c>
      <c r="N16" s="4">
        <f t="shared" si="4"/>
        <v>111947.32500000001</v>
      </c>
      <c r="O16" s="4">
        <f t="shared" si="5"/>
        <v>471.35715789473687</v>
      </c>
      <c r="Q16" s="69"/>
      <c r="R16" s="30" t="s">
        <v>1</v>
      </c>
      <c r="S16" s="30" t="s">
        <v>2</v>
      </c>
      <c r="T16" s="30">
        <f>(500-25)/2</f>
        <v>237.5</v>
      </c>
      <c r="U16" s="30">
        <f>(0.17-0.009)/2</f>
        <v>8.0500000000000002E-2</v>
      </c>
      <c r="V16" s="31">
        <f>U16*365</f>
        <v>29.3825</v>
      </c>
      <c r="W16" s="31">
        <f>U16*30</f>
        <v>2.415</v>
      </c>
      <c r="X16" s="32"/>
      <c r="Y16" s="32"/>
      <c r="Z16" s="32"/>
      <c r="AA16" s="33">
        <f>V16*Z16*1000</f>
        <v>0</v>
      </c>
      <c r="AB16" s="35">
        <f>AA16/T16</f>
        <v>0</v>
      </c>
    </row>
    <row r="17" spans="2:28" x14ac:dyDescent="0.25">
      <c r="B17" s="78"/>
      <c r="C17" s="30" t="s">
        <v>3</v>
      </c>
      <c r="D17" s="30" t="s">
        <v>4</v>
      </c>
      <c r="E17" s="30">
        <f>(3330-501)/2</f>
        <v>1414.5</v>
      </c>
      <c r="F17" s="30">
        <f>(1.09-0.017)/2</f>
        <v>0.53650000000000009</v>
      </c>
      <c r="G17" s="31">
        <f t="shared" ref="G17:G19" si="18">F17*365</f>
        <v>195.82250000000002</v>
      </c>
      <c r="H17" s="31">
        <f t="shared" ref="H17:H19" si="19">F17*30</f>
        <v>16.095000000000002</v>
      </c>
      <c r="I17" s="32">
        <v>0.25</v>
      </c>
      <c r="J17" s="32">
        <v>2.63</v>
      </c>
      <c r="K17" s="32">
        <v>2.73</v>
      </c>
      <c r="L17" s="33">
        <f t="shared" ref="L17:L19" si="20">G17*K17*1000</f>
        <v>534595.42500000005</v>
      </c>
      <c r="M17" s="35">
        <f t="shared" ref="M17:M19" si="21">L17/E17</f>
        <v>377.9395015906681</v>
      </c>
      <c r="N17" s="4">
        <f t="shared" si="4"/>
        <v>515013.17500000005</v>
      </c>
      <c r="O17" s="4">
        <f t="shared" si="5"/>
        <v>364.09556380346413</v>
      </c>
      <c r="Q17" s="69"/>
      <c r="R17" s="30" t="s">
        <v>3</v>
      </c>
      <c r="S17" s="30" t="s">
        <v>4</v>
      </c>
      <c r="T17" s="30">
        <f>(3330-501)/2</f>
        <v>1414.5</v>
      </c>
      <c r="U17" s="30">
        <f>(1.09-0.017)/2</f>
        <v>0.53650000000000009</v>
      </c>
      <c r="V17" s="31">
        <f t="shared" ref="V17:V19" si="22">U17*365</f>
        <v>195.82250000000002</v>
      </c>
      <c r="W17" s="31">
        <f t="shared" ref="W17:W19" si="23">U17*30</f>
        <v>16.095000000000002</v>
      </c>
      <c r="X17" s="32"/>
      <c r="Y17" s="32"/>
      <c r="Z17" s="32"/>
      <c r="AA17" s="33">
        <f t="shared" ref="AA17:AA19" si="24">V17*Z17*1000</f>
        <v>0</v>
      </c>
      <c r="AB17" s="35">
        <f t="shared" ref="AB17:AB19" si="25">AA17/T17</f>
        <v>0</v>
      </c>
    </row>
    <row r="18" spans="2:28" x14ac:dyDescent="0.25">
      <c r="B18" s="78"/>
      <c r="C18" s="30" t="s">
        <v>6</v>
      </c>
      <c r="D18" s="30" t="s">
        <v>7</v>
      </c>
      <c r="E18" s="30">
        <f>(10000-3301)/2</f>
        <v>3349.5</v>
      </c>
      <c r="F18" s="30">
        <f>(3.21-1.09)/2</f>
        <v>1.06</v>
      </c>
      <c r="G18" s="31">
        <f t="shared" si="18"/>
        <v>386.90000000000003</v>
      </c>
      <c r="H18" s="31">
        <f t="shared" si="19"/>
        <v>31.8</v>
      </c>
      <c r="I18" s="32">
        <v>0.52</v>
      </c>
      <c r="J18" s="32">
        <v>1.69</v>
      </c>
      <c r="K18" s="32">
        <v>2.04</v>
      </c>
      <c r="L18" s="33">
        <f t="shared" si="20"/>
        <v>789276.00000000012</v>
      </c>
      <c r="M18" s="35">
        <f t="shared" si="21"/>
        <v>235.63994626063595</v>
      </c>
      <c r="N18" s="4">
        <f t="shared" si="4"/>
        <v>653861</v>
      </c>
      <c r="O18" s="4">
        <f t="shared" si="5"/>
        <v>195.21152410807582</v>
      </c>
      <c r="Q18" s="69"/>
      <c r="R18" s="30" t="s">
        <v>6</v>
      </c>
      <c r="S18" s="30" t="s">
        <v>7</v>
      </c>
      <c r="T18" s="30">
        <f>(10000-3301)/2</f>
        <v>3349.5</v>
      </c>
      <c r="U18" s="30">
        <f>(3.21-1.09)/2</f>
        <v>1.06</v>
      </c>
      <c r="V18" s="31">
        <f t="shared" si="22"/>
        <v>386.90000000000003</v>
      </c>
      <c r="W18" s="31">
        <f t="shared" si="23"/>
        <v>31.8</v>
      </c>
      <c r="X18" s="32"/>
      <c r="Y18" s="32"/>
      <c r="Z18" s="32"/>
      <c r="AA18" s="33">
        <f t="shared" si="24"/>
        <v>0</v>
      </c>
      <c r="AB18" s="35">
        <f t="shared" si="25"/>
        <v>0</v>
      </c>
    </row>
    <row r="19" spans="2:28" ht="15.75" thickBot="1" x14ac:dyDescent="0.3">
      <c r="B19" s="79"/>
      <c r="C19" s="36" t="s">
        <v>8</v>
      </c>
      <c r="D19" s="36" t="s">
        <v>9</v>
      </c>
      <c r="E19" s="36">
        <f>(100000-10001)/2</f>
        <v>44999.5</v>
      </c>
      <c r="F19" s="36">
        <f>(30.45-3.21)/2</f>
        <v>13.62</v>
      </c>
      <c r="G19" s="37">
        <f t="shared" si="18"/>
        <v>4971.2999999999993</v>
      </c>
      <c r="H19" s="37">
        <f t="shared" si="19"/>
        <v>408.59999999999997</v>
      </c>
      <c r="I19" s="38">
        <v>0.41</v>
      </c>
      <c r="J19" s="38">
        <v>1.39</v>
      </c>
      <c r="K19" s="38">
        <v>1.81</v>
      </c>
      <c r="L19" s="39">
        <f t="shared" si="20"/>
        <v>8998052.9999999981</v>
      </c>
      <c r="M19" s="40">
        <f t="shared" si="21"/>
        <v>199.95895509950105</v>
      </c>
      <c r="N19" s="4">
        <f t="shared" si="4"/>
        <v>6910106.9999999981</v>
      </c>
      <c r="O19" s="4">
        <f t="shared" si="5"/>
        <v>153.55963955155053</v>
      </c>
      <c r="Q19" s="70"/>
      <c r="R19" s="36" t="s">
        <v>8</v>
      </c>
      <c r="S19" s="36" t="s">
        <v>9</v>
      </c>
      <c r="T19" s="36">
        <f>(100000-10001)/2</f>
        <v>44999.5</v>
      </c>
      <c r="U19" s="36">
        <f>(30.45-3.21)/2</f>
        <v>13.62</v>
      </c>
      <c r="V19" s="37">
        <f t="shared" si="22"/>
        <v>4971.2999999999993</v>
      </c>
      <c r="W19" s="37">
        <f t="shared" si="23"/>
        <v>408.59999999999997</v>
      </c>
      <c r="X19" s="38"/>
      <c r="Y19" s="38"/>
      <c r="Z19" s="38"/>
      <c r="AA19" s="39">
        <f t="shared" si="24"/>
        <v>0</v>
      </c>
      <c r="AB19" s="40">
        <f t="shared" si="25"/>
        <v>0</v>
      </c>
    </row>
    <row r="20" spans="2:28" ht="15.75" thickBot="1" x14ac:dyDescent="0.3">
      <c r="N20" s="4"/>
      <c r="O20" s="4"/>
    </row>
    <row r="21" spans="2:28" x14ac:dyDescent="0.25">
      <c r="B21" s="80" t="s">
        <v>18</v>
      </c>
      <c r="C21" s="71" t="s">
        <v>65</v>
      </c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4"/>
      <c r="O21" s="4"/>
    </row>
    <row r="22" spans="2:28" ht="45" x14ac:dyDescent="0.25">
      <c r="B22" s="81"/>
      <c r="C22" s="28" t="s">
        <v>5</v>
      </c>
      <c r="D22" s="28" t="s">
        <v>0</v>
      </c>
      <c r="E22" s="28" t="s">
        <v>12</v>
      </c>
      <c r="F22" s="28" t="s">
        <v>10</v>
      </c>
      <c r="G22" s="28" t="s">
        <v>20</v>
      </c>
      <c r="H22" s="28" t="s">
        <v>21</v>
      </c>
      <c r="I22" s="28" t="s">
        <v>14</v>
      </c>
      <c r="J22" s="28" t="s">
        <v>15</v>
      </c>
      <c r="K22" s="28" t="s">
        <v>16</v>
      </c>
      <c r="L22" s="28" t="s">
        <v>19</v>
      </c>
      <c r="M22" s="29" t="s">
        <v>22</v>
      </c>
      <c r="N22" s="4"/>
      <c r="O22" s="4"/>
    </row>
    <row r="23" spans="2:28" x14ac:dyDescent="0.25">
      <c r="B23" s="81"/>
      <c r="C23" s="30" t="s">
        <v>1</v>
      </c>
      <c r="D23" s="30" t="s">
        <v>2</v>
      </c>
      <c r="E23" s="30">
        <f>(500-25)/2</f>
        <v>237.5</v>
      </c>
      <c r="F23" s="30">
        <f>(0.17-0.009)/2</f>
        <v>8.0500000000000002E-2</v>
      </c>
      <c r="G23" s="31">
        <f>F23*365</f>
        <v>29.3825</v>
      </c>
      <c r="H23" s="31">
        <f>F23*30</f>
        <v>2.415</v>
      </c>
      <c r="I23" s="32">
        <v>0.47</v>
      </c>
      <c r="J23" s="32">
        <v>0.22</v>
      </c>
      <c r="K23" s="32">
        <v>0.69</v>
      </c>
      <c r="L23" s="33">
        <f>G23*K23*1000</f>
        <v>20273.924999999999</v>
      </c>
      <c r="M23" s="34">
        <f>L23/E23</f>
        <v>85.363894736842099</v>
      </c>
      <c r="N23" s="4">
        <f t="shared" si="4"/>
        <v>6464.15</v>
      </c>
      <c r="O23" s="4">
        <f t="shared" si="5"/>
        <v>27.217473684210525</v>
      </c>
    </row>
    <row r="24" spans="2:28" x14ac:dyDescent="0.25">
      <c r="B24" s="81"/>
      <c r="C24" s="30" t="s">
        <v>3</v>
      </c>
      <c r="D24" s="30" t="s">
        <v>4</v>
      </c>
      <c r="E24" s="30">
        <f>(3330-501)/2</f>
        <v>1414.5</v>
      </c>
      <c r="F24" s="30">
        <f>(1.09-0.017)/2</f>
        <v>0.53650000000000009</v>
      </c>
      <c r="G24" s="31">
        <f t="shared" ref="G24:G26" si="26">F24*365</f>
        <v>195.82250000000002</v>
      </c>
      <c r="H24" s="31">
        <f t="shared" ref="H24:H26" si="27">F24*30</f>
        <v>16.095000000000002</v>
      </c>
      <c r="I24" s="32">
        <v>0.19</v>
      </c>
      <c r="J24" s="32">
        <v>0.23</v>
      </c>
      <c r="K24" s="32">
        <v>0.57999999999999996</v>
      </c>
      <c r="L24" s="33">
        <f t="shared" ref="L24:L26" si="28">G24*K24*1000</f>
        <v>113577.05</v>
      </c>
      <c r="M24" s="34">
        <f t="shared" ref="M24:M26" si="29">L24/E24</f>
        <v>80.29483916578296</v>
      </c>
      <c r="N24" s="4">
        <f t="shared" si="4"/>
        <v>45039.17500000001</v>
      </c>
      <c r="O24" s="4">
        <f t="shared" si="5"/>
        <v>31.841056910569112</v>
      </c>
    </row>
    <row r="25" spans="2:28" x14ac:dyDescent="0.25">
      <c r="B25" s="81"/>
      <c r="C25" s="30" t="s">
        <v>6</v>
      </c>
      <c r="D25" s="30" t="s">
        <v>7</v>
      </c>
      <c r="E25" s="30">
        <f>(10000-3301)/2</f>
        <v>3349.5</v>
      </c>
      <c r="F25" s="30">
        <f>(3.21-1.09)/2</f>
        <v>1.06</v>
      </c>
      <c r="G25" s="31">
        <f t="shared" si="26"/>
        <v>386.90000000000003</v>
      </c>
      <c r="H25" s="31">
        <f t="shared" si="27"/>
        <v>31.8</v>
      </c>
      <c r="I25" s="32">
        <v>0.44</v>
      </c>
      <c r="J25" s="32">
        <v>0.91</v>
      </c>
      <c r="K25" s="32">
        <v>1.35</v>
      </c>
      <c r="L25" s="33">
        <f t="shared" si="28"/>
        <v>522315.00000000006</v>
      </c>
      <c r="M25" s="34">
        <f t="shared" si="29"/>
        <v>155.9381997313032</v>
      </c>
      <c r="N25" s="4">
        <f t="shared" si="4"/>
        <v>352079.00000000006</v>
      </c>
      <c r="O25" s="4">
        <f t="shared" si="5"/>
        <v>105.11389759665623</v>
      </c>
    </row>
    <row r="26" spans="2:28" x14ac:dyDescent="0.25">
      <c r="B26" s="81"/>
      <c r="C26" s="30" t="s">
        <v>8</v>
      </c>
      <c r="D26" s="30" t="s">
        <v>9</v>
      </c>
      <c r="E26" s="30">
        <f>(100000-10001)/2</f>
        <v>44999.5</v>
      </c>
      <c r="F26" s="30">
        <f>(30.45-3.21)/2</f>
        <v>13.62</v>
      </c>
      <c r="G26" s="31">
        <f t="shared" si="26"/>
        <v>4971.2999999999993</v>
      </c>
      <c r="H26" s="31">
        <f t="shared" si="27"/>
        <v>408.59999999999997</v>
      </c>
      <c r="I26" s="41">
        <v>0.33</v>
      </c>
      <c r="J26" s="41">
        <v>0.4</v>
      </c>
      <c r="K26" s="41">
        <v>0.73</v>
      </c>
      <c r="L26" s="33">
        <f t="shared" si="28"/>
        <v>3629048.9999999995</v>
      </c>
      <c r="M26" s="34">
        <f t="shared" si="29"/>
        <v>80.646429404771155</v>
      </c>
      <c r="N26" s="4">
        <f t="shared" si="4"/>
        <v>1988519.9999999998</v>
      </c>
      <c r="O26" s="4">
        <f t="shared" si="5"/>
        <v>44.189824331381452</v>
      </c>
    </row>
    <row r="27" spans="2:28" x14ac:dyDescent="0.25">
      <c r="B27" s="81"/>
      <c r="C27" s="73" t="s">
        <v>64</v>
      </c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4"/>
      <c r="O27" s="4"/>
    </row>
    <row r="28" spans="2:28" ht="45" x14ac:dyDescent="0.25">
      <c r="B28" s="81"/>
      <c r="C28" s="28" t="s">
        <v>5</v>
      </c>
      <c r="D28" s="28" t="s">
        <v>0</v>
      </c>
      <c r="E28" s="28" t="s">
        <v>12</v>
      </c>
      <c r="F28" s="28" t="s">
        <v>10</v>
      </c>
      <c r="G28" s="28" t="s">
        <v>11</v>
      </c>
      <c r="H28" s="28" t="s">
        <v>13</v>
      </c>
      <c r="I28" s="28" t="s">
        <v>14</v>
      </c>
      <c r="J28" s="28" t="s">
        <v>15</v>
      </c>
      <c r="K28" s="28" t="s">
        <v>16</v>
      </c>
      <c r="L28" s="28" t="s">
        <v>19</v>
      </c>
      <c r="M28" s="29" t="s">
        <v>22</v>
      </c>
      <c r="N28" s="4"/>
      <c r="O28" s="4"/>
    </row>
    <row r="29" spans="2:28" x14ac:dyDescent="0.25">
      <c r="B29" s="81"/>
      <c r="C29" s="30" t="s">
        <v>1</v>
      </c>
      <c r="D29" s="30" t="s">
        <v>2</v>
      </c>
      <c r="E29" s="30">
        <f>(500-25)/2</f>
        <v>237.5</v>
      </c>
      <c r="F29" s="30">
        <f>(0.17-0.009)/2</f>
        <v>8.0500000000000002E-2</v>
      </c>
      <c r="G29" s="31">
        <f>F29*365</f>
        <v>29.3825</v>
      </c>
      <c r="H29" s="31">
        <f>F29*30</f>
        <v>2.415</v>
      </c>
      <c r="I29" s="41">
        <v>2.4300000000000002</v>
      </c>
      <c r="J29" s="41">
        <v>4.22</v>
      </c>
      <c r="K29" s="41">
        <v>6.64</v>
      </c>
      <c r="L29" s="33">
        <f>G29*K29*1000</f>
        <v>195099.8</v>
      </c>
      <c r="M29" s="35">
        <f>L29/E29</f>
        <v>821.47284210526311</v>
      </c>
      <c r="N29" s="4">
        <f t="shared" si="4"/>
        <v>123994.15</v>
      </c>
      <c r="O29" s="4">
        <f t="shared" si="5"/>
        <v>522.0806315789473</v>
      </c>
    </row>
    <row r="30" spans="2:28" x14ac:dyDescent="0.25">
      <c r="B30" s="81"/>
      <c r="C30" s="30" t="s">
        <v>3</v>
      </c>
      <c r="D30" s="30" t="s">
        <v>4</v>
      </c>
      <c r="E30" s="30">
        <f>(3330-501)/2</f>
        <v>1414.5</v>
      </c>
      <c r="F30" s="30">
        <f>(1.09-0.017)/2</f>
        <v>0.53650000000000009</v>
      </c>
      <c r="G30" s="31">
        <f t="shared" ref="G30:G32" si="30">F30*365</f>
        <v>195.82250000000002</v>
      </c>
      <c r="H30" s="31">
        <f t="shared" ref="H30:H32" si="31">F30*30</f>
        <v>16.095000000000002</v>
      </c>
      <c r="I30" s="41">
        <v>0.47</v>
      </c>
      <c r="J30" s="41">
        <v>0.56999999999999995</v>
      </c>
      <c r="K30" s="41">
        <v>0.93</v>
      </c>
      <c r="L30" s="33">
        <f t="shared" ref="L30:L32" si="32">G30*K30*1000</f>
        <v>182114.92500000002</v>
      </c>
      <c r="M30" s="35">
        <f t="shared" ref="M30:M32" si="33">L30/E30</f>
        <v>128.74862142099684</v>
      </c>
      <c r="N30" s="4">
        <f t="shared" si="4"/>
        <v>111618.825</v>
      </c>
      <c r="O30" s="4">
        <f t="shared" si="5"/>
        <v>78.910445387062566</v>
      </c>
    </row>
    <row r="31" spans="2:28" x14ac:dyDescent="0.25">
      <c r="B31" s="81"/>
      <c r="C31" s="30" t="s">
        <v>6</v>
      </c>
      <c r="D31" s="30" t="s">
        <v>7</v>
      </c>
      <c r="E31" s="30">
        <f>(10000-3301)/2</f>
        <v>3349.5</v>
      </c>
      <c r="F31" s="30">
        <f>(3.21-1.09)/2</f>
        <v>1.06</v>
      </c>
      <c r="G31" s="31">
        <f t="shared" si="30"/>
        <v>386.90000000000003</v>
      </c>
      <c r="H31" s="31">
        <f t="shared" si="31"/>
        <v>31.8</v>
      </c>
      <c r="I31" s="41">
        <v>0.53</v>
      </c>
      <c r="J31" s="41">
        <v>1.89</v>
      </c>
      <c r="K31" s="41">
        <v>2.59</v>
      </c>
      <c r="L31" s="33">
        <f t="shared" si="32"/>
        <v>1002071</v>
      </c>
      <c r="M31" s="35">
        <f t="shared" si="33"/>
        <v>299.17032392894464</v>
      </c>
      <c r="N31" s="4">
        <f t="shared" si="4"/>
        <v>731241</v>
      </c>
      <c r="O31" s="4">
        <f t="shared" si="5"/>
        <v>218.31347962382446</v>
      </c>
    </row>
    <row r="32" spans="2:28" x14ac:dyDescent="0.25">
      <c r="B32" s="81"/>
      <c r="C32" s="30" t="s">
        <v>8</v>
      </c>
      <c r="D32" s="30" t="s">
        <v>9</v>
      </c>
      <c r="E32" s="30">
        <f>(100000-10001)/2</f>
        <v>44999.5</v>
      </c>
      <c r="F32" s="30">
        <f>(30.45-3.21)/2</f>
        <v>13.62</v>
      </c>
      <c r="G32" s="31">
        <f t="shared" si="30"/>
        <v>4971.2999999999993</v>
      </c>
      <c r="H32" s="31">
        <f t="shared" si="31"/>
        <v>408.59999999999997</v>
      </c>
      <c r="I32" s="41">
        <v>0.97</v>
      </c>
      <c r="J32" s="41">
        <v>1.48</v>
      </c>
      <c r="K32" s="41">
        <v>2.38</v>
      </c>
      <c r="L32" s="33">
        <f t="shared" si="32"/>
        <v>11831693.999999998</v>
      </c>
      <c r="M32" s="35">
        <f t="shared" si="33"/>
        <v>262.92945477171963</v>
      </c>
      <c r="N32" s="4">
        <f t="shared" si="4"/>
        <v>7357523.9999999981</v>
      </c>
      <c r="O32" s="4">
        <f t="shared" si="5"/>
        <v>163.50235002611137</v>
      </c>
    </row>
    <row r="33" spans="2:15" x14ac:dyDescent="0.25">
      <c r="B33" s="81"/>
      <c r="C33" s="75" t="s">
        <v>66</v>
      </c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4"/>
      <c r="O33" s="4"/>
    </row>
    <row r="34" spans="2:15" ht="45" x14ac:dyDescent="0.25">
      <c r="B34" s="81"/>
      <c r="C34" s="28" t="s">
        <v>5</v>
      </c>
      <c r="D34" s="28" t="s">
        <v>0</v>
      </c>
      <c r="E34" s="28" t="s">
        <v>12</v>
      </c>
      <c r="F34" s="28" t="s">
        <v>10</v>
      </c>
      <c r="G34" s="28" t="s">
        <v>11</v>
      </c>
      <c r="H34" s="28" t="s">
        <v>13</v>
      </c>
      <c r="I34" s="28" t="s">
        <v>14</v>
      </c>
      <c r="J34" s="28" t="s">
        <v>15</v>
      </c>
      <c r="K34" s="28" t="s">
        <v>16</v>
      </c>
      <c r="L34" s="28" t="s">
        <v>19</v>
      </c>
      <c r="M34" s="29" t="s">
        <v>22</v>
      </c>
      <c r="N34" s="4"/>
      <c r="O34" s="4"/>
    </row>
    <row r="35" spans="2:15" x14ac:dyDescent="0.25">
      <c r="B35" s="81"/>
      <c r="C35" s="30" t="s">
        <v>1</v>
      </c>
      <c r="D35" s="30" t="s">
        <v>2</v>
      </c>
      <c r="E35" s="30">
        <f>(500-25)/2</f>
        <v>237.5</v>
      </c>
      <c r="F35" s="30">
        <f>(0.17-0.009)/2</f>
        <v>8.0500000000000002E-2</v>
      </c>
      <c r="G35" s="31">
        <f>F35*365</f>
        <v>29.3825</v>
      </c>
      <c r="H35" s="31">
        <f>F35*30</f>
        <v>2.415</v>
      </c>
      <c r="I35" s="41">
        <v>4.4000000000000004</v>
      </c>
      <c r="J35" s="41">
        <v>16.16</v>
      </c>
      <c r="K35" s="41">
        <v>19.16</v>
      </c>
      <c r="L35" s="33">
        <f>G35*K35*1000</f>
        <v>562968.70000000007</v>
      </c>
      <c r="M35" s="35">
        <f>L35/E35</f>
        <v>2370.3945263157898</v>
      </c>
      <c r="N35" s="4">
        <f t="shared" si="4"/>
        <v>474821.2</v>
      </c>
      <c r="O35" s="4">
        <f t="shared" si="5"/>
        <v>1999.2471578947368</v>
      </c>
    </row>
    <row r="36" spans="2:15" x14ac:dyDescent="0.25">
      <c r="B36" s="81"/>
      <c r="C36" s="30" t="s">
        <v>3</v>
      </c>
      <c r="D36" s="30" t="s">
        <v>4</v>
      </c>
      <c r="E36" s="30">
        <f>(3330-501)/2</f>
        <v>1414.5</v>
      </c>
      <c r="F36" s="30">
        <f>(1.09-0.017)/2</f>
        <v>0.53650000000000009</v>
      </c>
      <c r="G36" s="31">
        <f t="shared" ref="G36:G38" si="34">F36*365</f>
        <v>195.82250000000002</v>
      </c>
      <c r="H36" s="31">
        <f t="shared" ref="H36:H38" si="35">F36*30</f>
        <v>16.095000000000002</v>
      </c>
      <c r="I36" s="41">
        <v>1.1299999999999999</v>
      </c>
      <c r="J36" s="41">
        <v>1.1499999999999999</v>
      </c>
      <c r="K36" s="41">
        <v>1.34</v>
      </c>
      <c r="L36" s="33">
        <f t="shared" ref="L36:L38" si="36">G36*K36*1000</f>
        <v>262402.15000000008</v>
      </c>
      <c r="M36" s="35">
        <f t="shared" ref="M36:M38" si="37">L36/E36</f>
        <v>185.5087663485331</v>
      </c>
      <c r="N36" s="4">
        <f t="shared" si="4"/>
        <v>225195.875</v>
      </c>
      <c r="O36" s="4">
        <f t="shared" si="5"/>
        <v>159.20528455284554</v>
      </c>
    </row>
    <row r="37" spans="2:15" x14ac:dyDescent="0.25">
      <c r="B37" s="81"/>
      <c r="C37" s="30" t="s">
        <v>6</v>
      </c>
      <c r="D37" s="30" t="s">
        <v>7</v>
      </c>
      <c r="E37" s="30">
        <f>(10000-3301)/2</f>
        <v>3349.5</v>
      </c>
      <c r="F37" s="30">
        <f>(3.21-1.09)/2</f>
        <v>1.06</v>
      </c>
      <c r="G37" s="31">
        <f t="shared" si="34"/>
        <v>386.90000000000003</v>
      </c>
      <c r="H37" s="31">
        <f t="shared" si="35"/>
        <v>31.8</v>
      </c>
      <c r="I37" s="41">
        <v>0.63</v>
      </c>
      <c r="J37" s="41">
        <v>2.76</v>
      </c>
      <c r="K37" s="41">
        <v>3.39</v>
      </c>
      <c r="L37" s="33">
        <f t="shared" si="36"/>
        <v>1311591.0000000002</v>
      </c>
      <c r="M37" s="35">
        <f t="shared" si="37"/>
        <v>391.57814599193915</v>
      </c>
      <c r="N37" s="4">
        <f t="shared" si="4"/>
        <v>1067844</v>
      </c>
      <c r="O37" s="4">
        <f t="shared" si="5"/>
        <v>318.80698611733095</v>
      </c>
    </row>
    <row r="38" spans="2:15" ht="15.75" thickBot="1" x14ac:dyDescent="0.3">
      <c r="B38" s="82"/>
      <c r="C38" s="36" t="s">
        <v>8</v>
      </c>
      <c r="D38" s="36" t="s">
        <v>9</v>
      </c>
      <c r="E38" s="36">
        <f>(100000-10001)/2</f>
        <v>44999.5</v>
      </c>
      <c r="F38" s="36">
        <f>(30.45-3.21)/2</f>
        <v>13.62</v>
      </c>
      <c r="G38" s="37">
        <f t="shared" si="34"/>
        <v>4971.2999999999993</v>
      </c>
      <c r="H38" s="37">
        <f t="shared" si="35"/>
        <v>408.59999999999997</v>
      </c>
      <c r="I38" s="38">
        <v>1.46</v>
      </c>
      <c r="J38" s="38">
        <v>2.21</v>
      </c>
      <c r="K38" s="38">
        <v>3.67</v>
      </c>
      <c r="L38" s="39">
        <f t="shared" si="36"/>
        <v>18244671</v>
      </c>
      <c r="M38" s="40">
        <f t="shared" si="37"/>
        <v>405.44163824042488</v>
      </c>
      <c r="N38" s="4">
        <f t="shared" si="4"/>
        <v>10986572.999999998</v>
      </c>
      <c r="O38" s="4">
        <f t="shared" si="5"/>
        <v>244.14877943088251</v>
      </c>
    </row>
  </sheetData>
  <mergeCells count="12">
    <mergeCell ref="B2:B19"/>
    <mergeCell ref="B21:B38"/>
    <mergeCell ref="C21:M21"/>
    <mergeCell ref="C27:M27"/>
    <mergeCell ref="C33:M33"/>
    <mergeCell ref="Q2:Q19"/>
    <mergeCell ref="R2:AB2"/>
    <mergeCell ref="R8:AB8"/>
    <mergeCell ref="R14:AB14"/>
    <mergeCell ref="C2:M2"/>
    <mergeCell ref="C8:M8"/>
    <mergeCell ref="C14:M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9472-37C4-4A17-959B-1067079354A5}">
  <dimension ref="A2:U57"/>
  <sheetViews>
    <sheetView workbookViewId="0">
      <selection activeCell="M4" sqref="M4"/>
    </sheetView>
  </sheetViews>
  <sheetFormatPr defaultRowHeight="15" x14ac:dyDescent="0.25"/>
  <cols>
    <col min="1" max="1" width="15.140625" customWidth="1"/>
    <col min="2" max="2" width="13.28515625" customWidth="1"/>
    <col min="3" max="3" width="16.7109375" customWidth="1"/>
    <col min="4" max="4" width="12.5703125" customWidth="1"/>
    <col min="5" max="5" width="16.5703125" customWidth="1"/>
    <col min="6" max="6" width="25.28515625" customWidth="1"/>
    <col min="7" max="7" width="16.7109375" customWidth="1"/>
    <col min="8" max="8" width="13.140625" customWidth="1"/>
    <col min="9" max="9" width="14.5703125" customWidth="1"/>
    <col min="10" max="10" width="15.42578125" customWidth="1"/>
    <col min="11" max="11" width="14.28515625" bestFit="1" customWidth="1"/>
    <col min="12" max="13" width="17" customWidth="1"/>
    <col min="14" max="14" width="19.85546875" customWidth="1"/>
    <col min="15" max="15" width="22.5703125" customWidth="1"/>
    <col min="16" max="16" width="16" customWidth="1"/>
    <col min="17" max="17" width="16.28515625" customWidth="1"/>
    <col min="18" max="18" width="16.7109375" customWidth="1"/>
    <col min="19" max="19" width="21" customWidth="1"/>
    <col min="20" max="20" width="22.7109375" customWidth="1"/>
    <col min="21" max="21" width="16.85546875" customWidth="1"/>
  </cols>
  <sheetData>
    <row r="2" spans="1:21" x14ac:dyDescent="0.25">
      <c r="A2" s="83" t="s">
        <v>18</v>
      </c>
      <c r="B2" s="18" t="s">
        <v>55</v>
      </c>
      <c r="C2" s="19"/>
      <c r="D2" s="19"/>
      <c r="E2" s="19"/>
      <c r="F2" s="19"/>
      <c r="G2" s="19"/>
      <c r="H2" s="19"/>
      <c r="I2" s="19"/>
      <c r="J2" s="19"/>
      <c r="K2" s="21" t="s">
        <v>59</v>
      </c>
      <c r="L2" s="20"/>
      <c r="M2" s="20"/>
      <c r="N2" s="20"/>
      <c r="O2" s="22" t="s">
        <v>56</v>
      </c>
      <c r="P2" s="23"/>
      <c r="Q2" s="23"/>
      <c r="R2" s="23"/>
      <c r="S2" s="23"/>
      <c r="T2" s="23"/>
    </row>
    <row r="3" spans="1:21" ht="60" x14ac:dyDescent="0.25">
      <c r="A3" s="83"/>
      <c r="B3" s="2" t="s">
        <v>5</v>
      </c>
      <c r="C3" s="2" t="s">
        <v>0</v>
      </c>
      <c r="D3" s="2" t="s">
        <v>12</v>
      </c>
      <c r="E3" s="2" t="s">
        <v>10</v>
      </c>
      <c r="F3" s="2" t="s">
        <v>20</v>
      </c>
      <c r="G3" s="2" t="s">
        <v>21</v>
      </c>
      <c r="H3" s="2" t="s">
        <v>14</v>
      </c>
      <c r="I3" s="2" t="s">
        <v>15</v>
      </c>
      <c r="J3" s="2" t="s">
        <v>16</v>
      </c>
      <c r="K3" s="2" t="s">
        <v>19</v>
      </c>
      <c r="L3" s="2" t="s">
        <v>22</v>
      </c>
      <c r="M3" s="2" t="s">
        <v>60</v>
      </c>
      <c r="N3" s="25" t="s">
        <v>61</v>
      </c>
      <c r="O3" s="2" t="s">
        <v>44</v>
      </c>
      <c r="P3" s="2" t="s">
        <v>45</v>
      </c>
      <c r="Q3" s="2" t="s">
        <v>46</v>
      </c>
      <c r="R3" s="2" t="s">
        <v>47</v>
      </c>
      <c r="S3" s="2" t="s">
        <v>48</v>
      </c>
      <c r="T3" s="2" t="s">
        <v>49</v>
      </c>
      <c r="U3" s="2" t="s">
        <v>68</v>
      </c>
    </row>
    <row r="4" spans="1:21" x14ac:dyDescent="0.25">
      <c r="A4" s="83"/>
      <c r="B4" t="s">
        <v>1</v>
      </c>
      <c r="C4" t="s">
        <v>2</v>
      </c>
      <c r="D4">
        <v>237.5</v>
      </c>
      <c r="E4" s="4">
        <v>8.0500000000000002E-2</v>
      </c>
      <c r="F4" s="4">
        <v>29.3825</v>
      </c>
      <c r="G4" s="4">
        <v>2.415</v>
      </c>
      <c r="H4" s="32">
        <v>0.47</v>
      </c>
      <c r="I4" s="32">
        <v>0.22</v>
      </c>
      <c r="J4" s="32">
        <v>0.69</v>
      </c>
      <c r="K4" s="33">
        <f>F4*J4*1000</f>
        <v>20273.924999999999</v>
      </c>
      <c r="L4" s="46">
        <f>K4/D4</f>
        <v>85.363894736842099</v>
      </c>
      <c r="M4" s="43">
        <f>F4*N4</f>
        <v>235.06</v>
      </c>
      <c r="N4" s="24">
        <v>8</v>
      </c>
      <c r="O4" s="7">
        <f>N4*K4</f>
        <v>162191.4</v>
      </c>
      <c r="P4" s="47">
        <v>191831.06</v>
      </c>
      <c r="Q4" s="7">
        <f>P4*H$49/H$53</f>
        <v>219165.63816467536</v>
      </c>
      <c r="R4" s="8">
        <f>P4*H$49/H$57</f>
        <v>219165.63816467536</v>
      </c>
      <c r="S4" s="7">
        <f>R4</f>
        <v>219165.63816467536</v>
      </c>
      <c r="T4" s="7">
        <f>R4</f>
        <v>219165.63816467536</v>
      </c>
      <c r="U4" s="10">
        <f>SUM(P4:T4)</f>
        <v>1068493.6126587014</v>
      </c>
    </row>
    <row r="5" spans="1:21" x14ac:dyDescent="0.25">
      <c r="A5" s="83"/>
      <c r="B5" t="s">
        <v>3</v>
      </c>
      <c r="C5" t="s">
        <v>4</v>
      </c>
      <c r="D5">
        <v>1414.5</v>
      </c>
      <c r="E5" s="4">
        <v>0.53650000000000009</v>
      </c>
      <c r="F5" s="4">
        <v>195.82250000000002</v>
      </c>
      <c r="G5" s="4">
        <v>16.095000000000002</v>
      </c>
      <c r="H5" s="32">
        <v>0.19</v>
      </c>
      <c r="I5" s="32">
        <v>0.23</v>
      </c>
      <c r="J5" s="32">
        <v>0.57999999999999996</v>
      </c>
      <c r="K5" s="33">
        <f>F5*J5*1000</f>
        <v>113577.05</v>
      </c>
      <c r="L5" s="46">
        <f>K5/D5</f>
        <v>80.29483916578296</v>
      </c>
      <c r="M5" s="43">
        <f>F5*N5</f>
        <v>1174.9350000000002</v>
      </c>
      <c r="N5" s="24">
        <v>6</v>
      </c>
      <c r="O5" s="7">
        <f t="shared" ref="O5:O7" si="0">N5*K5</f>
        <v>681462.3</v>
      </c>
      <c r="P5" s="7">
        <f>P$4/O$4*O5</f>
        <v>805996.09695112077</v>
      </c>
      <c r="Q5" s="7">
        <f>P5*H$49/H$53</f>
        <v>920844.87750070274</v>
      </c>
      <c r="R5" s="8">
        <f>P5*H$49/H$57</f>
        <v>920844.87750070274</v>
      </c>
      <c r="S5" s="7">
        <f>R5</f>
        <v>920844.87750070274</v>
      </c>
      <c r="T5" s="7">
        <f>R5</f>
        <v>920844.87750070274</v>
      </c>
      <c r="U5" s="10">
        <f>SUM(P5:T5)</f>
        <v>4489375.606953932</v>
      </c>
    </row>
    <row r="6" spans="1:21" x14ac:dyDescent="0.25">
      <c r="A6" s="83"/>
      <c r="B6" t="s">
        <v>6</v>
      </c>
      <c r="C6" t="s">
        <v>7</v>
      </c>
      <c r="D6">
        <v>3349.5</v>
      </c>
      <c r="E6" s="4">
        <v>1.06</v>
      </c>
      <c r="F6" s="4">
        <v>386.90000000000003</v>
      </c>
      <c r="G6" s="4">
        <v>31.8</v>
      </c>
      <c r="H6" s="32">
        <v>0.44</v>
      </c>
      <c r="I6" s="32">
        <v>0.91</v>
      </c>
      <c r="J6" s="32">
        <v>1.35</v>
      </c>
      <c r="K6" s="33">
        <f>F6*J6*1000</f>
        <v>522315.00000000006</v>
      </c>
      <c r="L6" s="46">
        <f>K6/D6</f>
        <v>155.9381997313032</v>
      </c>
      <c r="M6" s="43">
        <f>F6*N6</f>
        <v>386.90000000000003</v>
      </c>
      <c r="N6" s="24">
        <v>1</v>
      </c>
      <c r="O6" s="7">
        <f t="shared" si="0"/>
        <v>522315.00000000006</v>
      </c>
      <c r="P6" s="7">
        <f>P$4/O$4*O6</f>
        <v>617765.43086686474</v>
      </c>
      <c r="Q6" s="7">
        <f>P6*H$49/H$53</f>
        <v>705792.66408689017</v>
      </c>
      <c r="R6" s="8">
        <f>P6*H$49/H$57</f>
        <v>705792.66408689017</v>
      </c>
      <c r="S6" s="7">
        <f>R6</f>
        <v>705792.66408689017</v>
      </c>
      <c r="T6" s="8">
        <f>R6</f>
        <v>705792.66408689017</v>
      </c>
      <c r="U6" s="10">
        <f t="shared" ref="U6:U8" si="1">SUM(P6:T6)</f>
        <v>3440936.0872144252</v>
      </c>
    </row>
    <row r="7" spans="1:21" x14ac:dyDescent="0.25">
      <c r="A7" s="83"/>
      <c r="B7" t="s">
        <v>8</v>
      </c>
      <c r="C7" t="s">
        <v>9</v>
      </c>
      <c r="D7">
        <v>44999.5</v>
      </c>
      <c r="E7" s="4">
        <v>13.62</v>
      </c>
      <c r="F7" s="4">
        <v>4971.2999999999993</v>
      </c>
      <c r="G7" s="4">
        <v>408.59999999999997</v>
      </c>
      <c r="H7" s="41">
        <v>0.33</v>
      </c>
      <c r="I7" s="41">
        <v>0.4</v>
      </c>
      <c r="J7" s="41">
        <v>0.73</v>
      </c>
      <c r="K7" s="33">
        <f>F7*J7*1000</f>
        <v>3629048.9999999995</v>
      </c>
      <c r="L7" s="46">
        <f>K7/D7</f>
        <v>80.646429404771155</v>
      </c>
      <c r="M7" s="43">
        <f>F7*N7</f>
        <v>9942.5999999999985</v>
      </c>
      <c r="N7" s="24">
        <v>2</v>
      </c>
      <c r="O7" s="7">
        <f t="shared" si="0"/>
        <v>7258097.9999999991</v>
      </c>
      <c r="P7" s="7">
        <f t="shared" ref="P7" si="2">P$4/O$4*O7</f>
        <v>8584478.7881717514</v>
      </c>
      <c r="Q7" s="7">
        <f>P7*H$49/H$53</f>
        <v>9807706.6973449513</v>
      </c>
      <c r="R7" s="8">
        <f>P7*H$49/H$57</f>
        <v>9807706.6973449513</v>
      </c>
      <c r="S7" s="7">
        <f>R7</f>
        <v>9807706.6973449513</v>
      </c>
      <c r="T7" s="7">
        <f>R7</f>
        <v>9807706.6973449513</v>
      </c>
      <c r="U7" s="10">
        <f t="shared" si="1"/>
        <v>47815305.577551559</v>
      </c>
    </row>
    <row r="8" spans="1:21" x14ac:dyDescent="0.25">
      <c r="A8" s="83"/>
      <c r="B8" t="s">
        <v>62</v>
      </c>
      <c r="C8" t="s">
        <v>63</v>
      </c>
      <c r="D8">
        <f>(250000-100001)/2</f>
        <v>74999.5</v>
      </c>
      <c r="E8" s="4">
        <v>13.62</v>
      </c>
      <c r="F8" s="4">
        <v>4971.2999999999993</v>
      </c>
      <c r="G8" s="4">
        <v>408.59999999999997</v>
      </c>
      <c r="H8" s="41">
        <v>0.33</v>
      </c>
      <c r="I8" s="41">
        <v>0.4</v>
      </c>
      <c r="J8" s="41">
        <v>0.73</v>
      </c>
      <c r="K8" s="33">
        <f>F8*J8*1000</f>
        <v>3629048.9999999995</v>
      </c>
      <c r="L8" s="46">
        <v>81</v>
      </c>
      <c r="M8" s="43">
        <f>F8*N8</f>
        <v>0</v>
      </c>
      <c r="N8" s="24">
        <v>0</v>
      </c>
      <c r="O8" s="7">
        <f>N8*K8</f>
        <v>0</v>
      </c>
      <c r="P8" s="7">
        <f>P$4/O$4*O8</f>
        <v>0</v>
      </c>
      <c r="Q8" s="7">
        <f>P8*H$49/H$53</f>
        <v>0</v>
      </c>
      <c r="R8" s="8">
        <f>P8*H$49/H$57</f>
        <v>0</v>
      </c>
      <c r="S8" s="7">
        <f>R8</f>
        <v>0</v>
      </c>
      <c r="T8" s="7">
        <f>R8</f>
        <v>0</v>
      </c>
      <c r="U8" s="10">
        <f t="shared" si="1"/>
        <v>0</v>
      </c>
    </row>
    <row r="9" spans="1:21" x14ac:dyDescent="0.25">
      <c r="A9" s="83"/>
      <c r="L9" s="1" t="s">
        <v>52</v>
      </c>
      <c r="M9" s="44">
        <f>SUM(M4:M7)</f>
        <v>11739.494999999999</v>
      </c>
      <c r="N9">
        <f>SUM(N4:N8)</f>
        <v>17</v>
      </c>
      <c r="O9" s="8">
        <f>SUM(O4:O8)</f>
        <v>8624066.6999999993</v>
      </c>
      <c r="P9" s="8">
        <f t="shared" ref="P9:T9" si="3">SUM(P4:P8)</f>
        <v>10200071.375989737</v>
      </c>
      <c r="Q9" s="8">
        <f t="shared" si="3"/>
        <v>11653509.877097219</v>
      </c>
      <c r="R9" s="8">
        <f t="shared" si="3"/>
        <v>11653509.877097219</v>
      </c>
      <c r="S9" s="8">
        <f t="shared" si="3"/>
        <v>11653509.877097219</v>
      </c>
      <c r="T9" s="8">
        <f t="shared" si="3"/>
        <v>11653509.877097219</v>
      </c>
      <c r="U9" s="10">
        <f>SUM(P9:T9)</f>
        <v>56814110.884378612</v>
      </c>
    </row>
    <row r="10" spans="1:21" x14ac:dyDescent="0.25">
      <c r="A10" s="83"/>
      <c r="P10">
        <v>2020</v>
      </c>
      <c r="Q10">
        <v>2021</v>
      </c>
      <c r="R10">
        <v>2022</v>
      </c>
      <c r="S10">
        <v>2023</v>
      </c>
      <c r="T10">
        <v>2024</v>
      </c>
    </row>
    <row r="11" spans="1:21" x14ac:dyDescent="0.25">
      <c r="A11" s="83"/>
    </row>
    <row r="12" spans="1:21" x14ac:dyDescent="0.25">
      <c r="A12" s="83"/>
      <c r="O12" s="1" t="s">
        <v>52</v>
      </c>
      <c r="P12" s="6" t="s">
        <v>53</v>
      </c>
      <c r="Q12" s="6" t="s">
        <v>4</v>
      </c>
      <c r="R12" s="6" t="s">
        <v>7</v>
      </c>
      <c r="S12" s="6" t="s">
        <v>9</v>
      </c>
      <c r="T12" s="6" t="s">
        <v>63</v>
      </c>
      <c r="U12" s="6" t="s">
        <v>52</v>
      </c>
    </row>
    <row r="13" spans="1:21" x14ac:dyDescent="0.25">
      <c r="A13" s="83"/>
      <c r="N13" s="1" t="s">
        <v>50</v>
      </c>
      <c r="O13" s="12">
        <f>P9*5</f>
        <v>51000356.879948683</v>
      </c>
      <c r="P13" s="10">
        <f>O13*(N4/N$9)</f>
        <v>24000167.943505261</v>
      </c>
      <c r="Q13" s="10">
        <f>O13*(N5/N$9)</f>
        <v>18000125.957628947</v>
      </c>
      <c r="R13" s="10">
        <f>N6/N$9*O13</f>
        <v>3000020.9929381576</v>
      </c>
      <c r="S13" s="10">
        <f>O13*(N$7/N$9)</f>
        <v>6000041.9858763153</v>
      </c>
      <c r="T13" s="10">
        <f>O13*N8/N9</f>
        <v>0</v>
      </c>
      <c r="U13" s="10">
        <f>SUM(P13:T13)</f>
        <v>51000356.879948683</v>
      </c>
    </row>
    <row r="14" spans="1:21" x14ac:dyDescent="0.25">
      <c r="A14" s="83"/>
      <c r="N14" s="1" t="s">
        <v>51</v>
      </c>
      <c r="O14" s="12">
        <f>SUM(P9:T9)</f>
        <v>56814110.884378612</v>
      </c>
      <c r="P14" s="53">
        <f>O14*(N4/N$9)</f>
        <v>26736052.180884052</v>
      </c>
      <c r="Q14" s="10">
        <f>O14*(N5/N$9)</f>
        <v>20052039.13566304</v>
      </c>
      <c r="R14" s="10">
        <f>O14*N6/N$9</f>
        <v>3342006.5226105065</v>
      </c>
      <c r="S14" s="10">
        <f>O14*(N$7/N$9)</f>
        <v>6684013.045221013</v>
      </c>
      <c r="T14" s="10">
        <f>O14*N8/N9</f>
        <v>0</v>
      </c>
      <c r="U14" s="10">
        <f>SUM(P14:T14)</f>
        <v>56814110.884378619</v>
      </c>
    </row>
    <row r="15" spans="1:21" x14ac:dyDescent="0.25">
      <c r="A15" s="83"/>
    </row>
    <row r="16" spans="1:21" x14ac:dyDescent="0.25">
      <c r="A16" s="83"/>
      <c r="B16" s="18" t="s">
        <v>55</v>
      </c>
      <c r="C16" s="19"/>
      <c r="D16" s="19"/>
      <c r="E16" s="19"/>
      <c r="F16" s="19"/>
      <c r="G16" s="19"/>
      <c r="H16" s="19"/>
      <c r="I16" s="19"/>
      <c r="J16" s="19"/>
      <c r="K16" s="21" t="s">
        <v>59</v>
      </c>
      <c r="L16" s="20"/>
      <c r="M16" s="20"/>
      <c r="N16" s="20"/>
      <c r="O16" s="17" t="s">
        <v>57</v>
      </c>
      <c r="P16" s="14"/>
      <c r="Q16" s="14"/>
      <c r="R16" s="14"/>
      <c r="S16" s="14"/>
      <c r="T16" s="14"/>
    </row>
    <row r="17" spans="1:21" ht="60" x14ac:dyDescent="0.25">
      <c r="A17" s="83"/>
      <c r="B17" s="2" t="s">
        <v>5</v>
      </c>
      <c r="C17" s="2" t="s">
        <v>0</v>
      </c>
      <c r="D17" s="2" t="s">
        <v>12</v>
      </c>
      <c r="E17" s="2" t="s">
        <v>10</v>
      </c>
      <c r="F17" s="2" t="s">
        <v>20</v>
      </c>
      <c r="G17" s="2" t="s">
        <v>21</v>
      </c>
      <c r="H17" s="2" t="s">
        <v>14</v>
      </c>
      <c r="I17" s="2" t="s">
        <v>15</v>
      </c>
      <c r="J17" s="2" t="s">
        <v>16</v>
      </c>
      <c r="K17" s="2" t="s">
        <v>19</v>
      </c>
      <c r="L17" s="2" t="s">
        <v>22</v>
      </c>
      <c r="M17" s="2" t="s">
        <v>60</v>
      </c>
      <c r="N17" s="25" t="s">
        <v>61</v>
      </c>
      <c r="O17" s="2" t="s">
        <v>44</v>
      </c>
      <c r="P17" s="2" t="s">
        <v>45</v>
      </c>
      <c r="Q17" s="2" t="s">
        <v>46</v>
      </c>
      <c r="R17" s="2" t="s">
        <v>47</v>
      </c>
      <c r="S17" s="2" t="s">
        <v>48</v>
      </c>
      <c r="T17" s="2" t="s">
        <v>49</v>
      </c>
      <c r="U17" s="2" t="s">
        <v>68</v>
      </c>
    </row>
    <row r="18" spans="1:21" x14ac:dyDescent="0.25">
      <c r="A18" s="83"/>
      <c r="B18" t="s">
        <v>1</v>
      </c>
      <c r="C18" t="s">
        <v>2</v>
      </c>
      <c r="D18">
        <v>237.5</v>
      </c>
      <c r="E18" s="4">
        <v>8.0500000000000002E-2</v>
      </c>
      <c r="F18" s="4">
        <v>29.3825</v>
      </c>
      <c r="G18" s="4">
        <v>2.415</v>
      </c>
      <c r="H18" s="41">
        <v>2.4300000000000002</v>
      </c>
      <c r="I18" s="41">
        <v>4.22</v>
      </c>
      <c r="J18" s="41">
        <v>6.64</v>
      </c>
      <c r="K18" s="33">
        <f>F18*J18*1000</f>
        <v>195099.8</v>
      </c>
      <c r="L18" s="9">
        <f>K18/D18</f>
        <v>821.47284210526311</v>
      </c>
      <c r="M18" s="42">
        <f>F18*N18</f>
        <v>235.06</v>
      </c>
      <c r="N18" s="24">
        <v>8</v>
      </c>
      <c r="O18" s="7">
        <f>N18*K18</f>
        <v>1560798.4</v>
      </c>
      <c r="P18" s="7">
        <f>O18*(P$4/O$4)</f>
        <v>1846026.4324637679</v>
      </c>
      <c r="Q18" s="7">
        <f>P18*H$49/H$53</f>
        <v>2109072.2281354265</v>
      </c>
      <c r="R18" s="7">
        <f>P18*H$49/H$53</f>
        <v>2109072.2281354265</v>
      </c>
      <c r="S18" s="7">
        <f>R18</f>
        <v>2109072.2281354265</v>
      </c>
      <c r="T18" s="7">
        <f>R18</f>
        <v>2109072.2281354265</v>
      </c>
      <c r="U18" s="10">
        <f>SUM(P18:T18)</f>
        <v>10282315.345005475</v>
      </c>
    </row>
    <row r="19" spans="1:21" x14ac:dyDescent="0.25">
      <c r="A19" s="83"/>
      <c r="B19" t="s">
        <v>3</v>
      </c>
      <c r="C19" t="s">
        <v>4</v>
      </c>
      <c r="D19">
        <v>1414.5</v>
      </c>
      <c r="E19" s="4">
        <v>0.53650000000000009</v>
      </c>
      <c r="F19" s="4">
        <v>195.82250000000002</v>
      </c>
      <c r="G19" s="4">
        <v>16.095000000000002</v>
      </c>
      <c r="H19" s="41">
        <v>0.47</v>
      </c>
      <c r="I19" s="41">
        <v>0.56999999999999995</v>
      </c>
      <c r="J19" s="41">
        <v>0.93</v>
      </c>
      <c r="K19" s="33">
        <f>F19*J19*1000</f>
        <v>182114.92500000002</v>
      </c>
      <c r="L19" s="9">
        <f>K19/D19</f>
        <v>128.74862142099684</v>
      </c>
      <c r="M19" s="42">
        <f>F19*N19</f>
        <v>1174.9350000000002</v>
      </c>
      <c r="N19" s="24">
        <v>6</v>
      </c>
      <c r="O19" s="7">
        <f t="shared" ref="O19:O22" si="4">N19*K19</f>
        <v>1092689.55</v>
      </c>
      <c r="P19" s="7">
        <f t="shared" ref="P19:P22" si="5">O19*(P$4/O$4)</f>
        <v>1292373.0520078314</v>
      </c>
      <c r="Q19" s="7">
        <f>P19*H$49/H$53</f>
        <v>1476527.1311649198</v>
      </c>
      <c r="R19" s="7">
        <f>P19*H$49/H$53</f>
        <v>1476527.1311649198</v>
      </c>
      <c r="S19" s="48">
        <f>R19</f>
        <v>1476527.1311649198</v>
      </c>
      <c r="T19" s="7">
        <f>S19</f>
        <v>1476527.1311649198</v>
      </c>
      <c r="U19" s="10">
        <f>SUM(P19:T19)</f>
        <v>7198481.57666751</v>
      </c>
    </row>
    <row r="20" spans="1:21" x14ac:dyDescent="0.25">
      <c r="A20" s="83"/>
      <c r="B20" t="s">
        <v>6</v>
      </c>
      <c r="C20" t="s">
        <v>7</v>
      </c>
      <c r="D20">
        <v>3349.5</v>
      </c>
      <c r="E20" s="4">
        <v>1.06</v>
      </c>
      <c r="F20" s="4">
        <v>386.90000000000003</v>
      </c>
      <c r="G20" s="4">
        <v>31.8</v>
      </c>
      <c r="H20" s="41">
        <v>0.53</v>
      </c>
      <c r="I20" s="41">
        <v>1.89</v>
      </c>
      <c r="J20" s="41">
        <v>2.59</v>
      </c>
      <c r="K20" s="33">
        <f>F20*J20*1000</f>
        <v>1002071</v>
      </c>
      <c r="L20" s="9">
        <f>K20/D20</f>
        <v>299.17032392894464</v>
      </c>
      <c r="M20" s="42">
        <f>F20*N20</f>
        <v>386.90000000000003</v>
      </c>
      <c r="N20" s="24">
        <v>1</v>
      </c>
      <c r="O20" s="7">
        <f t="shared" si="4"/>
        <v>1002071</v>
      </c>
      <c r="P20" s="7">
        <f t="shared" si="5"/>
        <v>1185194.4192186515</v>
      </c>
      <c r="Q20" s="7">
        <f>P20*H$49/H$53</f>
        <v>1354076.2962852186</v>
      </c>
      <c r="R20" s="7">
        <f>P20*H$49/H$53</f>
        <v>1354076.2962852186</v>
      </c>
      <c r="S20" s="8">
        <f>R20</f>
        <v>1354076.2962852186</v>
      </c>
      <c r="T20" s="8">
        <f>S20</f>
        <v>1354076.2962852186</v>
      </c>
      <c r="U20" s="10">
        <f t="shared" ref="U20:U22" si="6">SUM(P20:T20)</f>
        <v>6601499.6043595253</v>
      </c>
    </row>
    <row r="21" spans="1:21" x14ac:dyDescent="0.25">
      <c r="A21" s="83"/>
      <c r="B21" t="s">
        <v>8</v>
      </c>
      <c r="C21" t="s">
        <v>9</v>
      </c>
      <c r="D21">
        <v>44999.5</v>
      </c>
      <c r="E21" s="4">
        <v>13.62</v>
      </c>
      <c r="F21" s="4">
        <v>4971.2999999999993</v>
      </c>
      <c r="G21" s="4">
        <v>408.59999999999997</v>
      </c>
      <c r="H21" s="41">
        <v>0.97</v>
      </c>
      <c r="I21" s="41">
        <v>1.48</v>
      </c>
      <c r="J21" s="41">
        <v>2.38</v>
      </c>
      <c r="K21" s="33">
        <f>F21*J21*1000</f>
        <v>11831693.999999998</v>
      </c>
      <c r="L21" s="9">
        <f>K21/D21</f>
        <v>262.92945477171963</v>
      </c>
      <c r="M21" s="42">
        <f>F21*N21</f>
        <v>9942.5999999999985</v>
      </c>
      <c r="N21" s="24">
        <v>2</v>
      </c>
      <c r="O21" s="7">
        <f t="shared" si="4"/>
        <v>23663387.999999996</v>
      </c>
      <c r="P21" s="7">
        <f t="shared" si="5"/>
        <v>27987752.761436667</v>
      </c>
      <c r="Q21" s="7">
        <f>P21*H$49/H$53</f>
        <v>31975810.87627532</v>
      </c>
      <c r="R21" s="7">
        <f>P21*H$49/H$53</f>
        <v>31975810.87627532</v>
      </c>
      <c r="S21" s="7">
        <f>R21</f>
        <v>31975810.87627532</v>
      </c>
      <c r="T21" s="7">
        <f>R21</f>
        <v>31975810.87627532</v>
      </c>
      <c r="U21" s="10">
        <f t="shared" si="6"/>
        <v>155890996.26653793</v>
      </c>
    </row>
    <row r="22" spans="1:21" x14ac:dyDescent="0.25">
      <c r="A22" s="83"/>
      <c r="B22" t="s">
        <v>62</v>
      </c>
      <c r="C22" t="s">
        <v>63</v>
      </c>
      <c r="D22">
        <f>(250000-100001)/2</f>
        <v>74999.5</v>
      </c>
      <c r="E22" s="4">
        <v>13.62</v>
      </c>
      <c r="F22" s="4">
        <v>4971.2999999999993</v>
      </c>
      <c r="G22" s="4">
        <v>408.59999999999997</v>
      </c>
      <c r="H22" s="41">
        <v>0.97</v>
      </c>
      <c r="I22" s="41">
        <v>1.48</v>
      </c>
      <c r="J22" s="41">
        <v>2.38</v>
      </c>
      <c r="K22" s="33">
        <f>F22*J22*1000</f>
        <v>11831693.999999998</v>
      </c>
      <c r="L22" s="9">
        <f>L21</f>
        <v>262.92945477171963</v>
      </c>
      <c r="M22" s="42">
        <f>F22*N22</f>
        <v>0</v>
      </c>
      <c r="N22" s="24">
        <v>0</v>
      </c>
      <c r="O22" s="7">
        <f t="shared" si="4"/>
        <v>0</v>
      </c>
      <c r="P22" s="7">
        <f t="shared" si="5"/>
        <v>0</v>
      </c>
      <c r="Q22" s="7">
        <f>P22*H$49/H$53</f>
        <v>0</v>
      </c>
      <c r="R22" s="7">
        <f>P22*H$49/H$53</f>
        <v>0</v>
      </c>
      <c r="S22" s="7">
        <f>R22</f>
        <v>0</v>
      </c>
      <c r="T22" s="7">
        <f>R22</f>
        <v>0</v>
      </c>
      <c r="U22" s="10">
        <f t="shared" si="6"/>
        <v>0</v>
      </c>
    </row>
    <row r="23" spans="1:21" x14ac:dyDescent="0.25">
      <c r="A23" s="83"/>
      <c r="L23" s="1" t="s">
        <v>52</v>
      </c>
      <c r="M23" s="45">
        <f>SUM(M18:M21)</f>
        <v>11739.494999999999</v>
      </c>
      <c r="N23">
        <f>SUM(N18:N22)</f>
        <v>17</v>
      </c>
      <c r="O23" s="8">
        <f>SUM(O18:O22)</f>
        <v>27318946.949999996</v>
      </c>
      <c r="P23" s="8">
        <f t="shared" ref="P23:T23" si="7">SUM(P18:P22)</f>
        <v>32311346.66512692</v>
      </c>
      <c r="Q23" s="8">
        <f t="shared" si="7"/>
        <v>36915486.531860888</v>
      </c>
      <c r="R23" s="8">
        <f>SUM(R18:R22)</f>
        <v>36915486.531860888</v>
      </c>
      <c r="S23" s="8">
        <f t="shared" si="7"/>
        <v>36915486.531860888</v>
      </c>
      <c r="T23" s="8">
        <f t="shared" si="7"/>
        <v>36915486.531860888</v>
      </c>
      <c r="U23" s="10">
        <f>SUM(P23:T23)</f>
        <v>179973292.79257047</v>
      </c>
    </row>
    <row r="24" spans="1:21" x14ac:dyDescent="0.25">
      <c r="A24" s="83"/>
      <c r="P24">
        <v>2020</v>
      </c>
      <c r="Q24">
        <v>2021</v>
      </c>
      <c r="R24">
        <v>2022</v>
      </c>
      <c r="S24">
        <v>2023</v>
      </c>
      <c r="T24">
        <v>2024</v>
      </c>
    </row>
    <row r="25" spans="1:21" x14ac:dyDescent="0.25">
      <c r="A25" s="83"/>
    </row>
    <row r="26" spans="1:21" x14ac:dyDescent="0.25">
      <c r="A26" s="83"/>
      <c r="O26" s="1" t="s">
        <v>52</v>
      </c>
      <c r="P26" s="6" t="s">
        <v>53</v>
      </c>
      <c r="Q26" s="6" t="s">
        <v>4</v>
      </c>
      <c r="R26" s="6" t="s">
        <v>7</v>
      </c>
      <c r="S26" s="6" t="s">
        <v>9</v>
      </c>
      <c r="T26" s="6" t="s">
        <v>63</v>
      </c>
      <c r="U26" s="6" t="s">
        <v>52</v>
      </c>
    </row>
    <row r="27" spans="1:21" x14ac:dyDescent="0.25">
      <c r="A27" s="83"/>
      <c r="N27" s="1" t="s">
        <v>50</v>
      </c>
      <c r="O27" s="27">
        <f>P23*5</f>
        <v>161556733.3256346</v>
      </c>
      <c r="P27" s="9">
        <f>O27*(N18/N$9)</f>
        <v>76026698.03559275</v>
      </c>
      <c r="Q27" s="9">
        <f>O27*(N19/N$9)</f>
        <v>57020023.526694566</v>
      </c>
      <c r="R27" s="9">
        <f>N20/N$9*O27</f>
        <v>9503337.2544490937</v>
      </c>
      <c r="S27" s="9">
        <f>O27*(N21/N$9)</f>
        <v>19006674.508898187</v>
      </c>
      <c r="T27" s="10">
        <f>O27*N22/N23</f>
        <v>0</v>
      </c>
      <c r="U27" s="10">
        <f>SUM(P27:T27)</f>
        <v>161556733.3256346</v>
      </c>
    </row>
    <row r="28" spans="1:21" x14ac:dyDescent="0.25">
      <c r="A28" s="83"/>
      <c r="N28" s="1" t="s">
        <v>51</v>
      </c>
      <c r="O28" s="27">
        <f>SUM(P23:T23)</f>
        <v>179973292.79257047</v>
      </c>
      <c r="P28" s="9">
        <f>O28*(N18/N$9)</f>
        <v>84693314.255327284</v>
      </c>
      <c r="Q28" s="9">
        <f>O28*(N19/N$9)</f>
        <v>63519985.691495463</v>
      </c>
      <c r="R28" s="9">
        <f>O28*N20/N$9</f>
        <v>10586664.281915911</v>
      </c>
      <c r="S28" s="9">
        <f>O28*(N21/N$23)</f>
        <v>21173328.563831821</v>
      </c>
      <c r="T28" s="10">
        <f>O28*N22/N23</f>
        <v>0</v>
      </c>
      <c r="U28" s="10">
        <f>SUM(P28:T28)</f>
        <v>179973292.79257047</v>
      </c>
    </row>
    <row r="29" spans="1:21" x14ac:dyDescent="0.25">
      <c r="A29" s="83"/>
      <c r="O29" s="1"/>
      <c r="P29" s="12"/>
      <c r="Q29" s="13"/>
      <c r="R29" s="8"/>
      <c r="T29" s="8"/>
    </row>
    <row r="30" spans="1:21" x14ac:dyDescent="0.25">
      <c r="A30" s="83"/>
      <c r="B30" s="18" t="s">
        <v>55</v>
      </c>
      <c r="C30" s="19"/>
      <c r="D30" s="19"/>
      <c r="E30" s="19"/>
      <c r="F30" s="19"/>
      <c r="G30" s="19"/>
      <c r="H30" s="19"/>
      <c r="I30" s="19"/>
      <c r="J30" s="19"/>
      <c r="K30" s="21" t="s">
        <v>59</v>
      </c>
      <c r="L30" s="20"/>
      <c r="M30" s="20"/>
      <c r="N30" s="20"/>
      <c r="O30" s="16" t="s">
        <v>58</v>
      </c>
      <c r="P30" s="15"/>
      <c r="Q30" s="15"/>
      <c r="R30" s="15"/>
      <c r="S30" s="15"/>
      <c r="T30" s="15"/>
    </row>
    <row r="31" spans="1:21" ht="60" x14ac:dyDescent="0.25">
      <c r="A31" s="83"/>
      <c r="B31" s="2" t="s">
        <v>5</v>
      </c>
      <c r="C31" s="2" t="s">
        <v>0</v>
      </c>
      <c r="D31" s="2" t="s">
        <v>12</v>
      </c>
      <c r="E31" s="2" t="s">
        <v>10</v>
      </c>
      <c r="F31" s="2" t="s">
        <v>20</v>
      </c>
      <c r="G31" s="2" t="s">
        <v>21</v>
      </c>
      <c r="H31" s="2" t="s">
        <v>14</v>
      </c>
      <c r="I31" s="2" t="s">
        <v>15</v>
      </c>
      <c r="J31" s="2" t="s">
        <v>16</v>
      </c>
      <c r="K31" s="2" t="s">
        <v>19</v>
      </c>
      <c r="L31" s="2" t="s">
        <v>22</v>
      </c>
      <c r="M31" s="2" t="s">
        <v>60</v>
      </c>
      <c r="N31" s="2" t="s">
        <v>61</v>
      </c>
      <c r="O31" s="2" t="s">
        <v>44</v>
      </c>
      <c r="P31" s="2" t="s">
        <v>45</v>
      </c>
      <c r="Q31" s="2" t="s">
        <v>46</v>
      </c>
      <c r="R31" s="2" t="s">
        <v>47</v>
      </c>
      <c r="S31" s="2" t="s">
        <v>48</v>
      </c>
      <c r="T31" s="2" t="s">
        <v>49</v>
      </c>
      <c r="U31" s="2" t="s">
        <v>68</v>
      </c>
    </row>
    <row r="32" spans="1:21" x14ac:dyDescent="0.25">
      <c r="A32" s="83"/>
      <c r="B32" t="s">
        <v>1</v>
      </c>
      <c r="C32" t="s">
        <v>2</v>
      </c>
      <c r="D32">
        <v>237.5</v>
      </c>
      <c r="E32" s="4">
        <v>8.0500000000000002E-2</v>
      </c>
      <c r="F32" s="4">
        <v>29.3825</v>
      </c>
      <c r="G32" s="4">
        <v>2.415</v>
      </c>
      <c r="H32" s="41">
        <v>4.4000000000000004</v>
      </c>
      <c r="I32" s="41">
        <v>16.16</v>
      </c>
      <c r="J32" s="41">
        <v>19.16</v>
      </c>
      <c r="K32" s="33">
        <f>F32*J32*1000</f>
        <v>562968.70000000007</v>
      </c>
      <c r="L32" s="33">
        <f>K32/D32</f>
        <v>2370.3945263157898</v>
      </c>
      <c r="M32" s="42">
        <f>F32*N32</f>
        <v>235.06</v>
      </c>
      <c r="N32" s="24">
        <v>8</v>
      </c>
      <c r="O32" s="9">
        <f>N32*K32</f>
        <v>4503749.6000000006</v>
      </c>
      <c r="P32" s="9">
        <f>O32*(P4/O4)</f>
        <v>5326787.1153623192</v>
      </c>
      <c r="Q32" s="9">
        <f>P32*H$49/H$53</f>
        <v>6085816.8510654792</v>
      </c>
      <c r="R32" s="10">
        <f>P32*H$49/H$57</f>
        <v>6085816.8510654792</v>
      </c>
      <c r="S32" s="9">
        <f>R32</f>
        <v>6085816.8510654792</v>
      </c>
      <c r="T32" s="9">
        <f>R32</f>
        <v>6085816.8510654792</v>
      </c>
      <c r="U32" s="10">
        <f>SUM(P32:T32)</f>
        <v>29670054.519624237</v>
      </c>
    </row>
    <row r="33" spans="1:21" x14ac:dyDescent="0.25">
      <c r="A33" s="83"/>
      <c r="B33" t="s">
        <v>3</v>
      </c>
      <c r="C33" t="s">
        <v>4</v>
      </c>
      <c r="D33">
        <v>1414.5</v>
      </c>
      <c r="E33" s="4">
        <v>0.53650000000000009</v>
      </c>
      <c r="F33" s="4">
        <v>195.82250000000002</v>
      </c>
      <c r="G33" s="4">
        <v>16.095000000000002</v>
      </c>
      <c r="H33" s="41">
        <v>1.1299999999999999</v>
      </c>
      <c r="I33" s="41">
        <v>1.1499999999999999</v>
      </c>
      <c r="J33" s="41">
        <v>1.34</v>
      </c>
      <c r="K33" s="33">
        <f>F33*J33*1000</f>
        <v>262402.15000000008</v>
      </c>
      <c r="L33" s="33">
        <f>K33/D33</f>
        <v>185.5087663485331</v>
      </c>
      <c r="M33" s="42">
        <f>F33*N33</f>
        <v>1174.9350000000002</v>
      </c>
      <c r="N33" s="24">
        <v>6</v>
      </c>
      <c r="O33" s="9">
        <f>N33*K33</f>
        <v>1574412.9000000004</v>
      </c>
      <c r="P33" s="9">
        <f>P$4/O$4*O33</f>
        <v>1862128.9136456931</v>
      </c>
      <c r="Q33" s="9">
        <f>P33*H$49/H$53</f>
        <v>2127469.1997430031</v>
      </c>
      <c r="R33" s="10">
        <f>P33*H$49/H$57</f>
        <v>2127469.1997430031</v>
      </c>
      <c r="S33" s="9">
        <f>R33</f>
        <v>2127469.1997430031</v>
      </c>
      <c r="T33" s="9">
        <f>S33</f>
        <v>2127469.1997430031</v>
      </c>
      <c r="U33" s="10">
        <f t="shared" ref="U33:U37" si="8">SUM(P33:T33)</f>
        <v>10372005.712617705</v>
      </c>
    </row>
    <row r="34" spans="1:21" x14ac:dyDescent="0.25">
      <c r="A34" s="83"/>
      <c r="B34" t="s">
        <v>6</v>
      </c>
      <c r="C34" t="s">
        <v>7</v>
      </c>
      <c r="D34">
        <v>3349.5</v>
      </c>
      <c r="E34" s="4">
        <v>1.06</v>
      </c>
      <c r="F34" s="4">
        <v>386.90000000000003</v>
      </c>
      <c r="G34" s="4">
        <v>31.8</v>
      </c>
      <c r="H34" s="41">
        <v>0.63</v>
      </c>
      <c r="I34" s="41">
        <v>2.76</v>
      </c>
      <c r="J34" s="41">
        <v>3.39</v>
      </c>
      <c r="K34" s="33">
        <f>F34*J34*1000</f>
        <v>1311591.0000000002</v>
      </c>
      <c r="L34" s="33">
        <f>K34/D34</f>
        <v>391.57814599193915</v>
      </c>
      <c r="M34" s="42">
        <f>F34*N34</f>
        <v>386.90000000000003</v>
      </c>
      <c r="N34" s="24">
        <v>1</v>
      </c>
      <c r="O34" s="9">
        <f>N34*K34</f>
        <v>1311591.0000000002</v>
      </c>
      <c r="P34" s="9">
        <f t="shared" ref="P34" si="9">P$4/O$4*O34</f>
        <v>1551277.6375101272</v>
      </c>
      <c r="Q34" s="9">
        <f>P34*H$49/H$53</f>
        <v>1772323.8009293019</v>
      </c>
      <c r="R34" s="10">
        <f>P34*H$49/H$57</f>
        <v>1772323.8009293019</v>
      </c>
      <c r="S34" s="9">
        <f>R34</f>
        <v>1772323.8009293019</v>
      </c>
      <c r="T34" s="9">
        <f>R34</f>
        <v>1772323.8009293019</v>
      </c>
      <c r="U34" s="10">
        <f t="shared" si="8"/>
        <v>8640572.8412273359</v>
      </c>
    </row>
    <row r="35" spans="1:21" x14ac:dyDescent="0.25">
      <c r="A35" s="83"/>
      <c r="B35" t="s">
        <v>8</v>
      </c>
      <c r="C35" t="s">
        <v>9</v>
      </c>
      <c r="D35">
        <v>44999.5</v>
      </c>
      <c r="E35" s="4">
        <v>13.62</v>
      </c>
      <c r="F35" s="4">
        <v>4971.2999999999993</v>
      </c>
      <c r="G35" s="4">
        <v>408.59999999999997</v>
      </c>
      <c r="H35" s="32">
        <v>1.46</v>
      </c>
      <c r="I35" s="32">
        <v>2.21</v>
      </c>
      <c r="J35" s="32">
        <v>3.67</v>
      </c>
      <c r="K35" s="33">
        <f>F35*J35*1000</f>
        <v>18244671</v>
      </c>
      <c r="L35" s="33">
        <f>K35/D35</f>
        <v>405.44163824042488</v>
      </c>
      <c r="M35" s="42">
        <f>F35*N35</f>
        <v>9942.5999999999985</v>
      </c>
      <c r="N35" s="24">
        <v>2</v>
      </c>
      <c r="O35" s="9">
        <f>N35*K35</f>
        <v>36489342</v>
      </c>
      <c r="P35" s="9">
        <f>P$4/O$4*O$35</f>
        <v>43157585.140534699</v>
      </c>
      <c r="Q35" s="9">
        <f>P35*H$49/H$53</f>
        <v>49307237.779802695</v>
      </c>
      <c r="R35" s="10">
        <f>P35*H$49/H$57</f>
        <v>49307237.779802695</v>
      </c>
      <c r="S35" s="9">
        <f>R35</f>
        <v>49307237.779802695</v>
      </c>
      <c r="T35" s="9">
        <f>S35</f>
        <v>49307237.779802695</v>
      </c>
      <c r="U35" s="10">
        <f t="shared" si="8"/>
        <v>240386536.25974548</v>
      </c>
    </row>
    <row r="36" spans="1:21" x14ac:dyDescent="0.25">
      <c r="A36" s="83"/>
      <c r="B36" t="s">
        <v>62</v>
      </c>
      <c r="C36" t="s">
        <v>63</v>
      </c>
      <c r="D36">
        <f>(250000-100001)/2</f>
        <v>74999.5</v>
      </c>
      <c r="E36" s="4">
        <v>13.62</v>
      </c>
      <c r="F36" s="4">
        <v>4971.2999999999993</v>
      </c>
      <c r="G36" s="4">
        <v>408.59999999999997</v>
      </c>
      <c r="H36" s="32">
        <v>1.46</v>
      </c>
      <c r="I36" s="32">
        <v>2.21</v>
      </c>
      <c r="J36" s="32">
        <v>3.67</v>
      </c>
      <c r="K36" s="33">
        <f>F36*J36*1000</f>
        <v>18244671</v>
      </c>
      <c r="L36" s="33">
        <f>L35</f>
        <v>405.44163824042488</v>
      </c>
      <c r="M36" s="42">
        <f>F36*N36</f>
        <v>0</v>
      </c>
      <c r="N36" s="24">
        <v>0</v>
      </c>
      <c r="O36" s="9">
        <f>N36*K36</f>
        <v>0</v>
      </c>
      <c r="P36" s="9">
        <f>P$4/O$4*O36</f>
        <v>0</v>
      </c>
      <c r="Q36" s="9">
        <f>P36*H$49/H$53</f>
        <v>0</v>
      </c>
      <c r="R36" s="10">
        <f>P36*H$49/H$57</f>
        <v>0</v>
      </c>
      <c r="S36" s="9">
        <f>R36</f>
        <v>0</v>
      </c>
      <c r="T36" s="9">
        <f>S36</f>
        <v>0</v>
      </c>
      <c r="U36" s="10">
        <f t="shared" si="8"/>
        <v>0</v>
      </c>
    </row>
    <row r="37" spans="1:21" x14ac:dyDescent="0.25">
      <c r="L37" s="1" t="s">
        <v>52</v>
      </c>
      <c r="M37" s="45">
        <f>SUM(M32:M35)</f>
        <v>11739.494999999999</v>
      </c>
      <c r="N37">
        <f>SUM(N32:N36)</f>
        <v>17</v>
      </c>
      <c r="O37" s="10">
        <f>SUM(O32:O36)</f>
        <v>43879095.5</v>
      </c>
      <c r="P37" s="10">
        <f>SUM(P32:P36)</f>
        <v>51897778.807052836</v>
      </c>
      <c r="Q37" s="10">
        <f t="shared" ref="Q37:T37" si="10">SUM(Q32:Q36)</f>
        <v>59292847.631540477</v>
      </c>
      <c r="R37" s="10">
        <f t="shared" si="10"/>
        <v>59292847.631540477</v>
      </c>
      <c r="S37" s="10">
        <f>SUM(S32:S36)</f>
        <v>59292847.631540477</v>
      </c>
      <c r="T37" s="10">
        <f t="shared" si="10"/>
        <v>59292847.631540477</v>
      </c>
      <c r="U37" s="10">
        <f t="shared" si="8"/>
        <v>289069169.33321476</v>
      </c>
    </row>
    <row r="38" spans="1:21" x14ac:dyDescent="0.25">
      <c r="P38">
        <v>2020</v>
      </c>
      <c r="Q38">
        <v>2021</v>
      </c>
      <c r="R38">
        <v>2022</v>
      </c>
      <c r="S38">
        <v>2023</v>
      </c>
      <c r="T38">
        <v>2024</v>
      </c>
    </row>
    <row r="40" spans="1:21" x14ac:dyDescent="0.25">
      <c r="O40" s="1" t="s">
        <v>52</v>
      </c>
      <c r="P40" s="6" t="s">
        <v>53</v>
      </c>
      <c r="Q40" s="6" t="s">
        <v>4</v>
      </c>
      <c r="R40" s="6" t="s">
        <v>7</v>
      </c>
      <c r="S40" s="6" t="s">
        <v>9</v>
      </c>
      <c r="T40" s="6" t="s">
        <v>63</v>
      </c>
      <c r="U40" s="6" t="s">
        <v>52</v>
      </c>
    </row>
    <row r="41" spans="1:21" x14ac:dyDescent="0.25">
      <c r="N41" s="1" t="s">
        <v>50</v>
      </c>
      <c r="O41" s="27">
        <f>P37*5</f>
        <v>259488894.03526419</v>
      </c>
      <c r="P41" s="9">
        <f>O41*(N32/N$37)</f>
        <v>122112420.72247727</v>
      </c>
      <c r="Q41" s="9">
        <f>O41*(N33/N$9)</f>
        <v>91584315.541857958</v>
      </c>
      <c r="R41" s="9">
        <f>N$34/N$37*O41</f>
        <v>15264052.590309659</v>
      </c>
      <c r="S41" s="9">
        <f>O41*(N$35/N$37)</f>
        <v>30528105.180619318</v>
      </c>
      <c r="T41" s="10">
        <f>O41*N36/N37</f>
        <v>0</v>
      </c>
      <c r="U41" s="10">
        <f>SUM(P41:T41)</f>
        <v>259488894.03526419</v>
      </c>
    </row>
    <row r="42" spans="1:21" x14ac:dyDescent="0.25">
      <c r="N42" s="1" t="s">
        <v>51</v>
      </c>
      <c r="O42" s="27">
        <f>SUM(P37:T37)</f>
        <v>289069169.33321476</v>
      </c>
      <c r="P42" s="9">
        <f>O42*(N32/N$9)</f>
        <v>136032550.274454</v>
      </c>
      <c r="Q42" s="9">
        <f>O42*(N33/N$9)</f>
        <v>102024412.70584051</v>
      </c>
      <c r="R42" s="9">
        <f>N$34/N$37*O42</f>
        <v>17004068.78430675</v>
      </c>
      <c r="S42" s="9">
        <f>O42*(N$35/N$37)</f>
        <v>34008137.568613499</v>
      </c>
      <c r="T42" s="10">
        <f>O42*N36/N37</f>
        <v>0</v>
      </c>
      <c r="U42" s="10">
        <f>SUM(P42:T42)</f>
        <v>289069169.33321476</v>
      </c>
    </row>
    <row r="44" spans="1:21" x14ac:dyDescent="0.25">
      <c r="C44" t="s">
        <v>54</v>
      </c>
    </row>
    <row r="45" spans="1:21" x14ac:dyDescent="0.25">
      <c r="C45" t="s">
        <v>24</v>
      </c>
      <c r="D45" t="s">
        <v>25</v>
      </c>
      <c r="E45" t="s">
        <v>26</v>
      </c>
      <c r="F45" t="s">
        <v>27</v>
      </c>
      <c r="G45" t="s">
        <v>28</v>
      </c>
    </row>
    <row r="46" spans="1:21" x14ac:dyDescent="0.25">
      <c r="C46" t="s">
        <v>29</v>
      </c>
      <c r="D46" t="s">
        <v>30</v>
      </c>
      <c r="E46" t="s">
        <v>31</v>
      </c>
      <c r="F46" t="s">
        <v>32</v>
      </c>
      <c r="G46">
        <v>2.1053504354944002</v>
      </c>
    </row>
    <row r="47" spans="1:21" x14ac:dyDescent="0.25">
      <c r="C47" t="s">
        <v>29</v>
      </c>
      <c r="D47" t="s">
        <v>30</v>
      </c>
      <c r="E47" t="s">
        <v>31</v>
      </c>
      <c r="F47" t="s">
        <v>33</v>
      </c>
      <c r="G47">
        <v>0.44048950245062601</v>
      </c>
    </row>
    <row r="48" spans="1:21" x14ac:dyDescent="0.25">
      <c r="C48" t="s">
        <v>29</v>
      </c>
      <c r="D48" t="s">
        <v>30</v>
      </c>
      <c r="E48" t="s">
        <v>31</v>
      </c>
      <c r="F48" t="s">
        <v>34</v>
      </c>
      <c r="G48">
        <v>1.2534884144327301</v>
      </c>
    </row>
    <row r="49" spans="3:8" x14ac:dyDescent="0.25">
      <c r="C49" t="s">
        <v>29</v>
      </c>
      <c r="D49" t="s">
        <v>30</v>
      </c>
      <c r="E49" t="s">
        <v>31</v>
      </c>
      <c r="F49" t="s">
        <v>35</v>
      </c>
      <c r="G49">
        <v>1.63457528884312</v>
      </c>
      <c r="H49">
        <f>AVERAGE(G50:G53)</f>
        <v>1.9278940174319898</v>
      </c>
    </row>
    <row r="50" spans="3:8" x14ac:dyDescent="0.25">
      <c r="C50" t="s">
        <v>29</v>
      </c>
      <c r="D50" t="s">
        <v>30</v>
      </c>
      <c r="E50" t="s">
        <v>31</v>
      </c>
      <c r="F50" t="s">
        <v>36</v>
      </c>
      <c r="G50">
        <v>1.5550121803780701</v>
      </c>
    </row>
    <row r="51" spans="3:8" x14ac:dyDescent="0.25">
      <c r="C51" t="s">
        <v>29</v>
      </c>
      <c r="D51" t="s">
        <v>30</v>
      </c>
      <c r="E51" t="s">
        <v>31</v>
      </c>
      <c r="F51" t="s">
        <v>37</v>
      </c>
      <c r="G51">
        <v>2.8294588082256902</v>
      </c>
    </row>
    <row r="52" spans="3:8" x14ac:dyDescent="0.25">
      <c r="C52" t="s">
        <v>29</v>
      </c>
      <c r="D52" t="s">
        <v>30</v>
      </c>
      <c r="E52" t="s">
        <v>31</v>
      </c>
      <c r="F52" t="s">
        <v>38</v>
      </c>
      <c r="G52">
        <v>1.9496292339758301</v>
      </c>
    </row>
    <row r="53" spans="3:8" x14ac:dyDescent="0.25">
      <c r="C53" t="s">
        <v>29</v>
      </c>
      <c r="D53" t="s">
        <v>30</v>
      </c>
      <c r="E53" t="s">
        <v>31</v>
      </c>
      <c r="F53" t="s">
        <v>39</v>
      </c>
      <c r="G53">
        <v>1.3774758471483699</v>
      </c>
      <c r="H53">
        <f>AVERAGE(G54:G57)</f>
        <v>1.6874449664128299</v>
      </c>
    </row>
    <row r="54" spans="3:8" x14ac:dyDescent="0.25">
      <c r="C54" t="s">
        <v>29</v>
      </c>
      <c r="D54" t="s">
        <v>30</v>
      </c>
      <c r="E54" t="s">
        <v>31</v>
      </c>
      <c r="F54" t="s">
        <v>40</v>
      </c>
      <c r="G54">
        <v>1.5573162820779001</v>
      </c>
    </row>
    <row r="55" spans="3:8" x14ac:dyDescent="0.25">
      <c r="C55" t="s">
        <v>29</v>
      </c>
      <c r="D55" t="s">
        <v>30</v>
      </c>
      <c r="E55" t="s">
        <v>31</v>
      </c>
      <c r="F55" t="s">
        <v>41</v>
      </c>
      <c r="G55">
        <v>1.66934768701467</v>
      </c>
    </row>
    <row r="56" spans="3:8" x14ac:dyDescent="0.25">
      <c r="C56" t="s">
        <v>29</v>
      </c>
      <c r="D56" t="s">
        <v>30</v>
      </c>
      <c r="E56" t="s">
        <v>31</v>
      </c>
      <c r="F56" t="s">
        <v>42</v>
      </c>
      <c r="G56">
        <v>1.73122695084699</v>
      </c>
    </row>
    <row r="57" spans="3:8" x14ac:dyDescent="0.25">
      <c r="C57" t="s">
        <v>29</v>
      </c>
      <c r="D57" t="s">
        <v>30</v>
      </c>
      <c r="E57" t="s">
        <v>31</v>
      </c>
      <c r="F57" t="s">
        <v>43</v>
      </c>
      <c r="G57">
        <v>1.7918889457117599</v>
      </c>
      <c r="H57">
        <f>AVERAGE(G54:G57)</f>
        <v>1.6874449664128299</v>
      </c>
    </row>
  </sheetData>
  <mergeCells count="1">
    <mergeCell ref="A2:A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C7731-F806-4D83-9557-B2E9BB8EEF47}">
  <dimension ref="A3:U58"/>
  <sheetViews>
    <sheetView workbookViewId="0">
      <selection activeCell="G13" sqref="G13"/>
    </sheetView>
  </sheetViews>
  <sheetFormatPr defaultRowHeight="15" x14ac:dyDescent="0.25"/>
  <cols>
    <col min="1" max="1" width="15.140625" customWidth="1"/>
    <col min="2" max="2" width="13.28515625" customWidth="1"/>
    <col min="3" max="3" width="16.7109375" customWidth="1"/>
    <col min="4" max="4" width="12.5703125" customWidth="1"/>
    <col min="5" max="5" width="16.5703125" customWidth="1"/>
    <col min="6" max="6" width="25.28515625" customWidth="1"/>
    <col min="7" max="7" width="16.7109375" customWidth="1"/>
    <col min="8" max="8" width="13.140625" customWidth="1"/>
    <col min="9" max="9" width="14.5703125" customWidth="1"/>
    <col min="10" max="10" width="15.42578125" customWidth="1"/>
    <col min="11" max="11" width="18" bestFit="1" customWidth="1"/>
    <col min="12" max="13" width="17" customWidth="1"/>
    <col min="15" max="15" width="22.5703125" customWidth="1"/>
    <col min="16" max="16" width="16" customWidth="1"/>
    <col min="17" max="17" width="16.28515625" customWidth="1"/>
    <col min="18" max="18" width="16.7109375" customWidth="1"/>
    <col min="19" max="19" width="18.140625" customWidth="1"/>
    <col min="20" max="20" width="19.28515625" customWidth="1"/>
    <col min="21" max="21" width="19.5703125" customWidth="1"/>
  </cols>
  <sheetData>
    <row r="3" spans="1:21" x14ac:dyDescent="0.25">
      <c r="A3" s="85" t="s">
        <v>17</v>
      </c>
      <c r="B3" s="18" t="s">
        <v>55</v>
      </c>
      <c r="C3" s="19"/>
      <c r="D3" s="19"/>
      <c r="E3" s="19"/>
      <c r="F3" s="19"/>
      <c r="G3" s="19"/>
      <c r="H3" s="19"/>
      <c r="I3" s="19"/>
      <c r="J3" s="19"/>
      <c r="K3" s="21" t="s">
        <v>59</v>
      </c>
      <c r="L3" s="20"/>
      <c r="M3" s="20"/>
      <c r="N3" s="20"/>
      <c r="O3" s="22" t="s">
        <v>56</v>
      </c>
      <c r="P3" s="23"/>
      <c r="Q3" s="23"/>
      <c r="R3" s="23"/>
      <c r="S3" s="23"/>
      <c r="T3" s="23"/>
      <c r="U3" s="23"/>
    </row>
    <row r="4" spans="1:21" ht="60" x14ac:dyDescent="0.25">
      <c r="A4" s="85"/>
      <c r="B4" s="2" t="s">
        <v>5</v>
      </c>
      <c r="C4" s="2" t="s">
        <v>0</v>
      </c>
      <c r="D4" s="2" t="s">
        <v>12</v>
      </c>
      <c r="E4" s="2" t="s">
        <v>10</v>
      </c>
      <c r="F4" s="2" t="s">
        <v>20</v>
      </c>
      <c r="G4" s="2" t="s">
        <v>21</v>
      </c>
      <c r="H4" s="2" t="s">
        <v>14</v>
      </c>
      <c r="I4" s="2" t="s">
        <v>15</v>
      </c>
      <c r="J4" s="2" t="s">
        <v>16</v>
      </c>
      <c r="K4" s="2" t="s">
        <v>19</v>
      </c>
      <c r="L4" s="2" t="s">
        <v>22</v>
      </c>
      <c r="M4" s="2" t="s">
        <v>60</v>
      </c>
      <c r="N4" s="25" t="s">
        <v>61</v>
      </c>
      <c r="O4" s="2" t="s">
        <v>44</v>
      </c>
      <c r="P4" s="2" t="s">
        <v>45</v>
      </c>
      <c r="Q4" s="2" t="s">
        <v>46</v>
      </c>
      <c r="R4" s="2" t="s">
        <v>47</v>
      </c>
      <c r="S4" s="2" t="s">
        <v>48</v>
      </c>
      <c r="T4" s="2" t="s">
        <v>49</v>
      </c>
      <c r="U4" s="11" t="s">
        <v>68</v>
      </c>
    </row>
    <row r="5" spans="1:21" x14ac:dyDescent="0.25">
      <c r="A5" s="85"/>
      <c r="B5" t="s">
        <v>1</v>
      </c>
      <c r="C5" t="s">
        <v>2</v>
      </c>
      <c r="D5">
        <v>237.5</v>
      </c>
      <c r="E5" s="4">
        <v>8.0500000000000002E-2</v>
      </c>
      <c r="F5" s="4">
        <v>29.3825</v>
      </c>
      <c r="G5" s="4">
        <v>2.415</v>
      </c>
      <c r="H5" s="32">
        <v>0.05</v>
      </c>
      <c r="I5" s="32">
        <v>0.28000000000000003</v>
      </c>
      <c r="J5" s="32">
        <v>0.62</v>
      </c>
      <c r="K5" s="33">
        <f>F5*J5*1000</f>
        <v>18217.150000000001</v>
      </c>
      <c r="L5" s="46">
        <f>K5/D5</f>
        <v>76.703789473684211</v>
      </c>
      <c r="M5" s="43">
        <f>F5*N5</f>
        <v>852.09249999999997</v>
      </c>
      <c r="N5" s="24">
        <v>29</v>
      </c>
      <c r="O5" s="7">
        <f>N5*K5</f>
        <v>528297.35000000009</v>
      </c>
      <c r="P5" s="7">
        <v>688709.24</v>
      </c>
      <c r="Q5" s="7">
        <f>P5*H$50/H$54</f>
        <v>786845.46754059836</v>
      </c>
      <c r="R5" s="8">
        <f>P5*H$50/H$58</f>
        <v>786845.46754059836</v>
      </c>
      <c r="S5" s="7">
        <f>R5</f>
        <v>786845.46754059836</v>
      </c>
      <c r="T5" s="7">
        <f>R5</f>
        <v>786845.46754059836</v>
      </c>
      <c r="U5" s="7">
        <f>SUM(P5:T5)</f>
        <v>3836091.1101623937</v>
      </c>
    </row>
    <row r="6" spans="1:21" x14ac:dyDescent="0.25">
      <c r="A6" s="85"/>
      <c r="B6" t="s">
        <v>3</v>
      </c>
      <c r="C6" t="s">
        <v>4</v>
      </c>
      <c r="D6">
        <v>1414.5</v>
      </c>
      <c r="E6" s="4">
        <v>0.53650000000000009</v>
      </c>
      <c r="F6" s="4">
        <v>195.82250000000002</v>
      </c>
      <c r="G6" s="4">
        <v>16.095000000000002</v>
      </c>
      <c r="H6" s="32">
        <v>0.08</v>
      </c>
      <c r="I6" s="32">
        <v>0.15</v>
      </c>
      <c r="J6" s="32">
        <v>0.34</v>
      </c>
      <c r="K6" s="33">
        <f t="shared" ref="K6:K8" si="0">F6*J6*1000</f>
        <v>66579.650000000009</v>
      </c>
      <c r="L6" s="46">
        <f t="shared" ref="L6:L8" si="1">K6/D6</f>
        <v>47.069388476493465</v>
      </c>
      <c r="M6" s="43">
        <f t="shared" ref="M6:M9" si="2">F6*N6</f>
        <v>1958.2250000000001</v>
      </c>
      <c r="N6" s="24">
        <v>10</v>
      </c>
      <c r="O6" s="7">
        <f t="shared" ref="O6:O8" si="3">N6*K6</f>
        <v>665796.50000000012</v>
      </c>
      <c r="P6" s="7">
        <f>P$5/O$5*O6</f>
        <v>867958.54930875567</v>
      </c>
      <c r="Q6" s="7">
        <f t="shared" ref="Q6:Q9" si="4">P6*H$50/H$54</f>
        <v>991636.54394517397</v>
      </c>
      <c r="R6" s="8">
        <f t="shared" ref="R6:R9" si="5">P6*H$50/H$58</f>
        <v>991636.54394517397</v>
      </c>
      <c r="S6" s="7">
        <f>R6</f>
        <v>991636.54394517397</v>
      </c>
      <c r="T6" s="7">
        <f>R6</f>
        <v>991636.54394517397</v>
      </c>
      <c r="U6" s="7">
        <f>SUM(P6:T6)</f>
        <v>4834504.7250894513</v>
      </c>
    </row>
    <row r="7" spans="1:21" x14ac:dyDescent="0.25">
      <c r="A7" s="85"/>
      <c r="B7" t="s">
        <v>6</v>
      </c>
      <c r="C7" t="s">
        <v>7</v>
      </c>
      <c r="D7">
        <v>3349.5</v>
      </c>
      <c r="E7" s="4">
        <v>1.06</v>
      </c>
      <c r="F7" s="4">
        <v>386.90000000000003</v>
      </c>
      <c r="G7" s="4">
        <v>31.8</v>
      </c>
      <c r="H7" s="32">
        <v>0.06</v>
      </c>
      <c r="I7" s="32">
        <v>0.12</v>
      </c>
      <c r="J7" s="32">
        <v>0.36</v>
      </c>
      <c r="K7" s="33">
        <f t="shared" si="0"/>
        <v>139284.00000000003</v>
      </c>
      <c r="L7" s="46">
        <f t="shared" si="1"/>
        <v>41.583519928347521</v>
      </c>
      <c r="M7" s="43">
        <f t="shared" si="2"/>
        <v>386.90000000000003</v>
      </c>
      <c r="N7" s="24">
        <v>1</v>
      </c>
      <c r="O7" s="7">
        <f t="shared" si="3"/>
        <v>139284.00000000003</v>
      </c>
      <c r="P7" s="7">
        <f>P$5/O$5*O7</f>
        <v>181576.11009057684</v>
      </c>
      <c r="Q7" s="7">
        <f t="shared" si="4"/>
        <v>207449.42994873002</v>
      </c>
      <c r="R7" s="8">
        <f t="shared" si="5"/>
        <v>207449.42994873002</v>
      </c>
      <c r="S7" s="7">
        <f>R7</f>
        <v>207449.42994873002</v>
      </c>
      <c r="T7" s="7">
        <f>R7</f>
        <v>207449.42994873002</v>
      </c>
      <c r="U7" s="7">
        <f t="shared" ref="U7:U8" si="6">SUM(P7:T7)</f>
        <v>1011373.829885497</v>
      </c>
    </row>
    <row r="8" spans="1:21" x14ac:dyDescent="0.25">
      <c r="A8" s="85"/>
      <c r="B8" t="s">
        <v>8</v>
      </c>
      <c r="C8" t="s">
        <v>9</v>
      </c>
      <c r="D8">
        <v>44999.5</v>
      </c>
      <c r="E8" s="4">
        <v>13.62</v>
      </c>
      <c r="F8" s="4">
        <v>4971.2999999999993</v>
      </c>
      <c r="G8" s="4">
        <v>408.59999999999997</v>
      </c>
      <c r="H8" s="32">
        <v>0.09</v>
      </c>
      <c r="I8" s="32">
        <v>0.13</v>
      </c>
      <c r="J8" s="32">
        <v>0.22</v>
      </c>
      <c r="K8" s="33">
        <f t="shared" si="0"/>
        <v>1093686</v>
      </c>
      <c r="L8" s="46">
        <f t="shared" si="1"/>
        <v>24.304403382259803</v>
      </c>
      <c r="M8" s="43">
        <f t="shared" si="2"/>
        <v>0</v>
      </c>
      <c r="N8" s="24">
        <v>0</v>
      </c>
      <c r="O8" s="7">
        <f t="shared" si="3"/>
        <v>0</v>
      </c>
      <c r="P8" s="7">
        <f t="shared" ref="P8" si="7">P$5/O$5*O8</f>
        <v>0</v>
      </c>
      <c r="Q8" s="7">
        <f t="shared" si="4"/>
        <v>0</v>
      </c>
      <c r="R8" s="8">
        <f t="shared" si="5"/>
        <v>0</v>
      </c>
      <c r="S8" s="7">
        <f>R8</f>
        <v>0</v>
      </c>
      <c r="T8" s="7">
        <f>R8</f>
        <v>0</v>
      </c>
      <c r="U8" s="7">
        <f t="shared" si="6"/>
        <v>0</v>
      </c>
    </row>
    <row r="9" spans="1:21" x14ac:dyDescent="0.25">
      <c r="A9" s="85"/>
      <c r="B9" t="s">
        <v>62</v>
      </c>
      <c r="C9" t="s">
        <v>63</v>
      </c>
      <c r="D9">
        <f>(250000-100001)/2</f>
        <v>74999.5</v>
      </c>
      <c r="E9" s="4">
        <f>E8*D$9/D$8</f>
        <v>22.700100890009889</v>
      </c>
      <c r="F9" s="4">
        <f>F8*D$9/D$8</f>
        <v>8285.5368248536088</v>
      </c>
      <c r="G9" s="4">
        <f>G8*D$9/D$8</f>
        <v>681.00302670029669</v>
      </c>
      <c r="H9" s="3">
        <v>0.09</v>
      </c>
      <c r="I9" s="4">
        <f>I8*D$9/D$8</f>
        <v>0.21666762964032932</v>
      </c>
      <c r="J9" s="4">
        <f>J8*D$9/D$8</f>
        <v>0.36666829631440351</v>
      </c>
      <c r="K9" s="33">
        <f>F9*J9*1000</f>
        <v>3038043.6716193249</v>
      </c>
      <c r="L9" s="46">
        <f>K9/D9</f>
        <v>40.50751900505103</v>
      </c>
      <c r="M9" s="43">
        <f t="shared" si="2"/>
        <v>8285.5368248536088</v>
      </c>
      <c r="N9" s="24">
        <v>1</v>
      </c>
      <c r="O9" s="7">
        <f>N9*K9</f>
        <v>3038043.6716193249</v>
      </c>
      <c r="P9" s="7">
        <f>P$5/O$5*O9</f>
        <v>3960513.427083733</v>
      </c>
      <c r="Q9" s="7">
        <f t="shared" si="4"/>
        <v>4524858.7622180255</v>
      </c>
      <c r="R9" s="8">
        <f t="shared" si="5"/>
        <v>4524858.7622180255</v>
      </c>
      <c r="S9" s="7">
        <f>R9</f>
        <v>4524858.7622180255</v>
      </c>
      <c r="T9" s="7">
        <f>R9</f>
        <v>4524858.7622180255</v>
      </c>
      <c r="U9" s="7">
        <f>SUM(P9:T9)</f>
        <v>22059948.475955833</v>
      </c>
    </row>
    <row r="10" spans="1:21" x14ac:dyDescent="0.25">
      <c r="A10" s="85"/>
      <c r="L10" s="1" t="s">
        <v>52</v>
      </c>
      <c r="M10" s="44">
        <f>SUM(M5:M8)</f>
        <v>3197.2175000000002</v>
      </c>
      <c r="N10">
        <f>SUM(N5:N9)</f>
        <v>41</v>
      </c>
      <c r="O10" s="8">
        <f>SUM(O5:O9)</f>
        <v>4371421.5216193255</v>
      </c>
      <c r="P10" s="8">
        <f t="shared" ref="P10:T10" si="8">SUM(P5:P9)</f>
        <v>5698757.3264830653</v>
      </c>
      <c r="Q10" s="8">
        <f t="shared" si="8"/>
        <v>6510790.2036525272</v>
      </c>
      <c r="R10" s="8">
        <f t="shared" si="8"/>
        <v>6510790.2036525272</v>
      </c>
      <c r="S10" s="8">
        <f t="shared" si="8"/>
        <v>6510790.2036525272</v>
      </c>
      <c r="T10" s="8">
        <f t="shared" si="8"/>
        <v>6510790.2036525272</v>
      </c>
      <c r="U10" s="7">
        <f>SUM(P10:T10)</f>
        <v>31741918.141093172</v>
      </c>
    </row>
    <row r="11" spans="1:21" x14ac:dyDescent="0.25">
      <c r="A11" s="85"/>
      <c r="P11">
        <v>2020</v>
      </c>
      <c r="Q11">
        <v>2021</v>
      </c>
      <c r="R11">
        <v>2022</v>
      </c>
      <c r="S11">
        <v>2023</v>
      </c>
      <c r="T11">
        <v>2024</v>
      </c>
    </row>
    <row r="12" spans="1:21" x14ac:dyDescent="0.25">
      <c r="A12" s="85"/>
    </row>
    <row r="13" spans="1:21" x14ac:dyDescent="0.25">
      <c r="A13" s="85"/>
      <c r="O13" s="1" t="s">
        <v>52</v>
      </c>
      <c r="P13" s="6" t="s">
        <v>53</v>
      </c>
      <c r="Q13" s="6" t="s">
        <v>4</v>
      </c>
      <c r="R13" s="6" t="s">
        <v>7</v>
      </c>
      <c r="S13" s="6" t="s">
        <v>9</v>
      </c>
      <c r="T13" s="1" t="s">
        <v>63</v>
      </c>
      <c r="U13" s="6" t="s">
        <v>52</v>
      </c>
    </row>
    <row r="14" spans="1:21" x14ac:dyDescent="0.25">
      <c r="A14" s="85"/>
      <c r="M14" s="84" t="s">
        <v>50</v>
      </c>
      <c r="N14" s="84"/>
      <c r="O14" s="26">
        <f>P10*5</f>
        <v>28493786.632415324</v>
      </c>
      <c r="P14" s="7">
        <f>O14*(N5/N$10)</f>
        <v>20154141.764391325</v>
      </c>
      <c r="Q14" s="7">
        <f>O14*(N6/N$10)</f>
        <v>6949704.056686664</v>
      </c>
      <c r="R14" s="7">
        <f>N7/N$10*O14</f>
        <v>694970.40566866647</v>
      </c>
      <c r="S14" s="7">
        <f>O14*(N$8/N$10)</f>
        <v>0</v>
      </c>
      <c r="T14" s="7">
        <f>O14*N9/N10</f>
        <v>694970.40566866647</v>
      </c>
      <c r="U14" s="8">
        <f>SUM(P14:T14)</f>
        <v>28493786.632415317</v>
      </c>
    </row>
    <row r="15" spans="1:21" x14ac:dyDescent="0.25">
      <c r="A15" s="85"/>
      <c r="M15" s="84" t="s">
        <v>51</v>
      </c>
      <c r="N15" s="84"/>
      <c r="O15" s="26">
        <f>SUM(P10:T10)</f>
        <v>31741918.141093172</v>
      </c>
      <c r="P15" s="7">
        <f>O15*(N5/N$10)</f>
        <v>22451600.636382975</v>
      </c>
      <c r="Q15" s="7">
        <f>O15*(N6/N$10)</f>
        <v>7741931.2539251633</v>
      </c>
      <c r="R15" s="7">
        <f>O15*N7/N$10</f>
        <v>774193.12539251638</v>
      </c>
      <c r="S15" s="7">
        <f>O15*(N$8/N$10)</f>
        <v>0</v>
      </c>
      <c r="T15" s="7">
        <f>O15*N9/N10</f>
        <v>774193.12539251638</v>
      </c>
      <c r="U15" s="8">
        <f>SUM(P15:T15)</f>
        <v>31741918.141093168</v>
      </c>
    </row>
    <row r="16" spans="1:21" x14ac:dyDescent="0.25">
      <c r="A16" s="85"/>
    </row>
    <row r="17" spans="1:21" x14ac:dyDescent="0.25">
      <c r="A17" s="85"/>
      <c r="B17" s="18" t="s">
        <v>55</v>
      </c>
      <c r="C17" s="19"/>
      <c r="D17" s="19"/>
      <c r="E17" s="19"/>
      <c r="F17" s="19"/>
      <c r="G17" s="19"/>
      <c r="H17" s="19"/>
      <c r="I17" s="19"/>
      <c r="J17" s="19"/>
      <c r="K17" s="21" t="s">
        <v>59</v>
      </c>
      <c r="L17" s="20"/>
      <c r="M17" s="20"/>
      <c r="N17" s="20"/>
      <c r="O17" s="17" t="s">
        <v>57</v>
      </c>
      <c r="P17" s="14"/>
      <c r="Q17" s="14"/>
      <c r="R17" s="14"/>
      <c r="S17" s="14"/>
      <c r="T17" s="14"/>
      <c r="U17" s="14"/>
    </row>
    <row r="18" spans="1:21" ht="60" x14ac:dyDescent="0.25">
      <c r="A18" s="85"/>
      <c r="B18" s="2" t="s">
        <v>5</v>
      </c>
      <c r="C18" s="2" t="s">
        <v>0</v>
      </c>
      <c r="D18" s="2" t="s">
        <v>12</v>
      </c>
      <c r="E18" s="2" t="s">
        <v>10</v>
      </c>
      <c r="F18" s="2" t="s">
        <v>20</v>
      </c>
      <c r="G18" s="2" t="s">
        <v>21</v>
      </c>
      <c r="H18" s="2" t="s">
        <v>14</v>
      </c>
      <c r="I18" s="2" t="s">
        <v>15</v>
      </c>
      <c r="J18" s="2" t="s">
        <v>16</v>
      </c>
      <c r="K18" s="2" t="s">
        <v>19</v>
      </c>
      <c r="L18" s="2" t="s">
        <v>22</v>
      </c>
      <c r="M18" s="2" t="s">
        <v>60</v>
      </c>
      <c r="N18" s="25" t="s">
        <v>61</v>
      </c>
      <c r="O18" s="2" t="s">
        <v>44</v>
      </c>
      <c r="P18" s="2" t="s">
        <v>45</v>
      </c>
      <c r="Q18" s="2" t="s">
        <v>46</v>
      </c>
      <c r="R18" s="2" t="s">
        <v>47</v>
      </c>
      <c r="S18" s="2" t="s">
        <v>48</v>
      </c>
      <c r="T18" s="2" t="s">
        <v>49</v>
      </c>
      <c r="U18" s="11" t="s">
        <v>68</v>
      </c>
    </row>
    <row r="19" spans="1:21" x14ac:dyDescent="0.25">
      <c r="A19" s="85"/>
      <c r="B19" t="s">
        <v>1</v>
      </c>
      <c r="C19" t="s">
        <v>2</v>
      </c>
      <c r="D19">
        <v>237.5</v>
      </c>
      <c r="E19" s="4">
        <v>8.0500000000000002E-2</v>
      </c>
      <c r="F19" s="4">
        <v>29.3825</v>
      </c>
      <c r="G19" s="4">
        <v>2.415</v>
      </c>
      <c r="H19" s="32">
        <v>0.75</v>
      </c>
      <c r="I19" s="32">
        <v>1.22</v>
      </c>
      <c r="J19" s="32">
        <v>1.97</v>
      </c>
      <c r="K19" s="7">
        <f>J19*1000*F19</f>
        <v>57883.525000000001</v>
      </c>
      <c r="L19" s="9">
        <f>K19/D19</f>
        <v>243.7201052631579</v>
      </c>
      <c r="M19" s="42">
        <f>F19*N19</f>
        <v>852.09249999999997</v>
      </c>
      <c r="N19" s="24">
        <v>29</v>
      </c>
      <c r="O19" s="7">
        <f>N19*K19</f>
        <v>1678622.2250000001</v>
      </c>
      <c r="P19" s="7">
        <f>O19*(P$5/O$5)</f>
        <v>2188318.0690322579</v>
      </c>
      <c r="Q19" s="7">
        <f>P19*H$50/H$54</f>
        <v>2500138.0178306107</v>
      </c>
      <c r="R19" s="8">
        <f>P19*H$50/H$58</f>
        <v>2500138.0178306107</v>
      </c>
      <c r="S19" s="7">
        <f>R19</f>
        <v>2500138.0178306107</v>
      </c>
      <c r="T19" s="7">
        <f>R19</f>
        <v>2500138.0178306107</v>
      </c>
      <c r="U19" s="7">
        <f>SUM(P19:T19)</f>
        <v>12188870.1403547</v>
      </c>
    </row>
    <row r="20" spans="1:21" x14ac:dyDescent="0.25">
      <c r="A20" s="85"/>
      <c r="B20" t="s">
        <v>3</v>
      </c>
      <c r="C20" t="s">
        <v>4</v>
      </c>
      <c r="D20">
        <v>1414.5</v>
      </c>
      <c r="E20" s="4">
        <v>0.53650000000000009</v>
      </c>
      <c r="F20" s="4">
        <v>195.82250000000002</v>
      </c>
      <c r="G20" s="4">
        <v>16.095000000000002</v>
      </c>
      <c r="H20" s="32">
        <v>0.15</v>
      </c>
      <c r="I20" s="32">
        <v>0.87</v>
      </c>
      <c r="J20" s="32">
        <v>1.05</v>
      </c>
      <c r="K20" s="7">
        <f t="shared" ref="K20:K22" si="9">J20*1000*F20</f>
        <v>205613.62500000003</v>
      </c>
      <c r="L20" s="9">
        <f t="shared" ref="L20:L23" si="10">K20/D20</f>
        <v>145.3613467656416</v>
      </c>
      <c r="M20" s="42">
        <f>F20*N20</f>
        <v>1958.2250000000001</v>
      </c>
      <c r="N20" s="24">
        <v>10</v>
      </c>
      <c r="O20" s="7">
        <f t="shared" ref="O20:O22" si="11">N20*K20</f>
        <v>2056136.2500000002</v>
      </c>
      <c r="P20" s="7">
        <f>P$5/O$5*O20</f>
        <v>2680460.2258064514</v>
      </c>
      <c r="Q20" s="7">
        <f t="shared" ref="Q20:Q22" si="12">P20*H$50/H$54</f>
        <v>3062406.9739483311</v>
      </c>
      <c r="R20" s="8">
        <f t="shared" ref="R20:R23" si="13">P20*H$50/H$58</f>
        <v>3062406.9739483311</v>
      </c>
      <c r="S20" s="7">
        <f>R20</f>
        <v>3062406.9739483311</v>
      </c>
      <c r="T20" s="7">
        <f>R20</f>
        <v>3062406.9739483311</v>
      </c>
      <c r="U20" s="7">
        <f>SUM(P20:T20)</f>
        <v>14930088.121599777</v>
      </c>
    </row>
    <row r="21" spans="1:21" x14ac:dyDescent="0.25">
      <c r="A21" s="85"/>
      <c r="B21" t="s">
        <v>6</v>
      </c>
      <c r="C21" t="s">
        <v>7</v>
      </c>
      <c r="D21">
        <v>3349.5</v>
      </c>
      <c r="E21" s="4">
        <v>1.06</v>
      </c>
      <c r="F21" s="4">
        <v>386.90000000000003</v>
      </c>
      <c r="G21" s="4">
        <v>31.8</v>
      </c>
      <c r="H21" s="32">
        <v>0.19</v>
      </c>
      <c r="I21" s="32">
        <v>0.84</v>
      </c>
      <c r="J21" s="32">
        <v>1.06</v>
      </c>
      <c r="K21" s="7">
        <f t="shared" si="9"/>
        <v>410114.00000000006</v>
      </c>
      <c r="L21" s="9">
        <f t="shared" si="10"/>
        <v>122.4403642334677</v>
      </c>
      <c r="M21" s="42">
        <f>F21*N21</f>
        <v>386.90000000000003</v>
      </c>
      <c r="N21" s="24">
        <v>1</v>
      </c>
      <c r="O21" s="7">
        <f>N21*K21</f>
        <v>410114.00000000006</v>
      </c>
      <c r="P21" s="7">
        <f>P$5/O$5*O21</f>
        <v>534640.76860003173</v>
      </c>
      <c r="Q21" s="7">
        <f t="shared" si="12"/>
        <v>610823.32151570497</v>
      </c>
      <c r="R21" s="8">
        <f t="shared" si="13"/>
        <v>610823.32151570497</v>
      </c>
      <c r="S21" s="7">
        <f>R21</f>
        <v>610823.32151570497</v>
      </c>
      <c r="T21" s="7">
        <f>R21</f>
        <v>610823.32151570497</v>
      </c>
      <c r="U21" s="7">
        <f t="shared" ref="U21:U22" si="14">SUM(P21:T21)</f>
        <v>2977934.0546628516</v>
      </c>
    </row>
    <row r="22" spans="1:21" x14ac:dyDescent="0.25">
      <c r="A22" s="85"/>
      <c r="B22" t="s">
        <v>8</v>
      </c>
      <c r="C22" t="s">
        <v>9</v>
      </c>
      <c r="D22">
        <v>44999.5</v>
      </c>
      <c r="E22" s="4">
        <v>13.62</v>
      </c>
      <c r="F22" s="4">
        <v>4971.2999999999993</v>
      </c>
      <c r="G22" s="4">
        <v>408.59999999999997</v>
      </c>
      <c r="H22" s="32">
        <v>0.25</v>
      </c>
      <c r="I22" s="32">
        <v>0.66</v>
      </c>
      <c r="J22" s="32">
        <v>0.97</v>
      </c>
      <c r="K22" s="7">
        <f t="shared" si="9"/>
        <v>4822160.9999999991</v>
      </c>
      <c r="L22" s="9">
        <f t="shared" si="10"/>
        <v>107.16032400360002</v>
      </c>
      <c r="M22" s="42">
        <f t="shared" ref="M22:M23" si="15">F22*N22</f>
        <v>0</v>
      </c>
      <c r="N22" s="24">
        <v>0</v>
      </c>
      <c r="O22" s="7">
        <f t="shared" si="11"/>
        <v>0</v>
      </c>
      <c r="P22" s="7">
        <f t="shared" ref="P22" si="16">P$5/O$5*O22</f>
        <v>0</v>
      </c>
      <c r="Q22" s="7">
        <f t="shared" si="12"/>
        <v>0</v>
      </c>
      <c r="R22" s="8">
        <f t="shared" si="13"/>
        <v>0</v>
      </c>
      <c r="S22" s="7">
        <f>R22</f>
        <v>0</v>
      </c>
      <c r="T22" s="7">
        <f>R22</f>
        <v>0</v>
      </c>
      <c r="U22" s="7">
        <f t="shared" si="14"/>
        <v>0</v>
      </c>
    </row>
    <row r="23" spans="1:21" x14ac:dyDescent="0.25">
      <c r="A23" s="85"/>
      <c r="B23" t="s">
        <v>62</v>
      </c>
      <c r="C23" t="s">
        <v>63</v>
      </c>
      <c r="D23">
        <f>(250000-100001)/2</f>
        <v>74999.5</v>
      </c>
      <c r="E23" s="4">
        <f>E22*D$9/D$8</f>
        <v>22.700100890009889</v>
      </c>
      <c r="F23" s="4">
        <f>F22*D$9/D$8</f>
        <v>8285.5368248536088</v>
      </c>
      <c r="G23" s="4">
        <f>G22*D$9/D$8</f>
        <v>681.00302670029669</v>
      </c>
      <c r="H23" s="3">
        <v>0.25</v>
      </c>
      <c r="I23" s="4">
        <f>I22*D$9/D$8</f>
        <v>1.1000048889432106</v>
      </c>
      <c r="J23" s="4">
        <f>J22*D$9/D$8</f>
        <v>1.6166738519316881</v>
      </c>
      <c r="K23" s="7">
        <f>J23*1000*F23</f>
        <v>13395010.733957933</v>
      </c>
      <c r="L23" s="9">
        <f t="shared" si="10"/>
        <v>178.60133379499774</v>
      </c>
      <c r="M23" s="42">
        <f t="shared" si="15"/>
        <v>8285.5368248536088</v>
      </c>
      <c r="N23" s="24">
        <v>1</v>
      </c>
      <c r="O23" s="7">
        <f>N23*K23</f>
        <v>13395010.733957933</v>
      </c>
      <c r="P23" s="7">
        <f>P$5/O$5*O23</f>
        <v>17462263.746687368</v>
      </c>
      <c r="Q23" s="7">
        <f>P23*H$50/H$54</f>
        <v>19950513.633415841</v>
      </c>
      <c r="R23" s="8">
        <f t="shared" si="13"/>
        <v>19950513.633415841</v>
      </c>
      <c r="S23" s="7">
        <f>R23</f>
        <v>19950513.633415841</v>
      </c>
      <c r="T23" s="7">
        <f>R23</f>
        <v>19950513.633415841</v>
      </c>
      <c r="U23" s="7">
        <f>SUM(P23:T23)</f>
        <v>97264318.280350745</v>
      </c>
    </row>
    <row r="24" spans="1:21" x14ac:dyDescent="0.25">
      <c r="A24" s="85"/>
      <c r="L24" s="1" t="s">
        <v>52</v>
      </c>
      <c r="M24" s="45">
        <f>SUM(M19:M22)</f>
        <v>3197.2175000000002</v>
      </c>
      <c r="N24">
        <f>SUM(N19:N23)</f>
        <v>41</v>
      </c>
      <c r="O24" s="8">
        <f>SUM(O19:O23)</f>
        <v>17539883.208957933</v>
      </c>
      <c r="P24" s="8">
        <f t="shared" ref="P24:T24" si="17">SUM(P19:P23)</f>
        <v>22865682.810126111</v>
      </c>
      <c r="Q24" s="8">
        <f t="shared" si="17"/>
        <v>26123881.94671049</v>
      </c>
      <c r="R24" s="8">
        <f t="shared" si="17"/>
        <v>26123881.94671049</v>
      </c>
      <c r="S24" s="8">
        <f t="shared" si="17"/>
        <v>26123881.94671049</v>
      </c>
      <c r="T24" s="8">
        <f t="shared" si="17"/>
        <v>26123881.94671049</v>
      </c>
      <c r="U24" s="8">
        <f>SUM(U19:U23)</f>
        <v>127361210.59696808</v>
      </c>
    </row>
    <row r="25" spans="1:21" x14ac:dyDescent="0.25">
      <c r="A25" s="85"/>
      <c r="P25">
        <v>2020</v>
      </c>
      <c r="Q25">
        <v>2021</v>
      </c>
      <c r="R25">
        <v>2022</v>
      </c>
      <c r="S25">
        <v>2023</v>
      </c>
      <c r="T25">
        <v>2024</v>
      </c>
    </row>
    <row r="26" spans="1:21" x14ac:dyDescent="0.25">
      <c r="A26" s="85"/>
    </row>
    <row r="27" spans="1:21" x14ac:dyDescent="0.25">
      <c r="A27" s="85"/>
      <c r="O27" s="1" t="s">
        <v>52</v>
      </c>
      <c r="P27" s="6" t="s">
        <v>53</v>
      </c>
      <c r="Q27" s="6" t="s">
        <v>4</v>
      </c>
      <c r="R27" s="6" t="s">
        <v>7</v>
      </c>
      <c r="S27" s="6" t="s">
        <v>9</v>
      </c>
      <c r="T27" s="11" t="s">
        <v>63</v>
      </c>
      <c r="U27" s="11" t="s">
        <v>52</v>
      </c>
    </row>
    <row r="28" spans="1:21" x14ac:dyDescent="0.25">
      <c r="A28" s="85"/>
      <c r="M28" s="84" t="s">
        <v>50</v>
      </c>
      <c r="N28" s="84"/>
      <c r="O28" s="27">
        <f>P24*5</f>
        <v>114328414.05063055</v>
      </c>
      <c r="P28" s="9">
        <f>O28*(N$19/N$24)</f>
        <v>80866439.206543565</v>
      </c>
      <c r="Q28" s="9">
        <f>O28*(N20/N$10)</f>
        <v>27884979.036739159</v>
      </c>
      <c r="R28" s="9">
        <f>N21/N$10*O28</f>
        <v>2788497.9036739161</v>
      </c>
      <c r="S28" s="9">
        <f>O28*(N$8/N$10)</f>
        <v>0</v>
      </c>
      <c r="T28" s="9">
        <f>O28*N23/N24</f>
        <v>2788497.9036739161</v>
      </c>
      <c r="U28" s="9">
        <f>SUM(P28:T28)</f>
        <v>114328414.05063055</v>
      </c>
    </row>
    <row r="29" spans="1:21" x14ac:dyDescent="0.25">
      <c r="A29" s="85"/>
      <c r="M29" s="84" t="s">
        <v>51</v>
      </c>
      <c r="N29" s="84"/>
      <c r="O29" s="27">
        <f>SUM(P24:T24)</f>
        <v>127361210.59696808</v>
      </c>
      <c r="P29" s="9">
        <f>O29*(N19/N$24)</f>
        <v>90084758.714928642</v>
      </c>
      <c r="Q29" s="9">
        <f>O29*(N20/N$10)</f>
        <v>31063709.901699532</v>
      </c>
      <c r="R29" s="9">
        <f>O29*N21/N$10</f>
        <v>3106370.9901699531</v>
      </c>
      <c r="S29" s="9">
        <f>O29*(N$8/N$10)</f>
        <v>0</v>
      </c>
      <c r="T29" s="9">
        <f>O29*N23/N24</f>
        <v>3106370.9901699531</v>
      </c>
      <c r="U29" s="9">
        <f>SUM(P29:T29)</f>
        <v>127361210.59696808</v>
      </c>
    </row>
    <row r="30" spans="1:21" x14ac:dyDescent="0.25">
      <c r="A30" s="85"/>
      <c r="O30" s="1"/>
      <c r="P30" s="12"/>
      <c r="Q30" s="13"/>
      <c r="R30" s="8"/>
      <c r="T30" s="8"/>
    </row>
    <row r="31" spans="1:21" x14ac:dyDescent="0.25">
      <c r="A31" s="85"/>
      <c r="B31" s="18" t="s">
        <v>55</v>
      </c>
      <c r="C31" s="19"/>
      <c r="D31" s="19"/>
      <c r="E31" s="19"/>
      <c r="F31" s="19"/>
      <c r="G31" s="19"/>
      <c r="H31" s="19"/>
      <c r="I31" s="19"/>
      <c r="J31" s="19"/>
      <c r="K31" s="21" t="s">
        <v>59</v>
      </c>
      <c r="L31" s="20"/>
      <c r="M31" s="20"/>
      <c r="N31" s="20"/>
      <c r="O31" s="16" t="s">
        <v>58</v>
      </c>
      <c r="P31" s="15"/>
      <c r="Q31" s="15"/>
      <c r="R31" s="15"/>
      <c r="S31" s="15"/>
      <c r="T31" s="15"/>
      <c r="U31" s="15"/>
    </row>
    <row r="32" spans="1:21" ht="60" x14ac:dyDescent="0.25">
      <c r="A32" s="85"/>
      <c r="B32" s="2" t="s">
        <v>5</v>
      </c>
      <c r="C32" s="2" t="s">
        <v>0</v>
      </c>
      <c r="D32" s="2" t="s">
        <v>12</v>
      </c>
      <c r="E32" s="2" t="s">
        <v>10</v>
      </c>
      <c r="F32" s="2" t="s">
        <v>20</v>
      </c>
      <c r="G32" s="2" t="s">
        <v>21</v>
      </c>
      <c r="H32" s="2" t="s">
        <v>14</v>
      </c>
      <c r="I32" s="2" t="s">
        <v>15</v>
      </c>
      <c r="J32" s="2" t="s">
        <v>16</v>
      </c>
      <c r="K32" s="2" t="s">
        <v>19</v>
      </c>
      <c r="L32" s="2" t="s">
        <v>22</v>
      </c>
      <c r="M32" s="2" t="s">
        <v>60</v>
      </c>
      <c r="N32" s="2" t="s">
        <v>61</v>
      </c>
      <c r="O32" s="2" t="s">
        <v>44</v>
      </c>
      <c r="P32" s="2" t="s">
        <v>45</v>
      </c>
      <c r="Q32" s="2" t="s">
        <v>46</v>
      </c>
      <c r="R32" s="2" t="s">
        <v>47</v>
      </c>
      <c r="S32" s="2" t="s">
        <v>48</v>
      </c>
      <c r="T32" s="2" t="s">
        <v>49</v>
      </c>
      <c r="U32" s="11" t="s">
        <v>68</v>
      </c>
    </row>
    <row r="33" spans="1:21" x14ac:dyDescent="0.25">
      <c r="A33" s="85"/>
      <c r="B33" t="s">
        <v>1</v>
      </c>
      <c r="C33" t="s">
        <v>2</v>
      </c>
      <c r="D33">
        <v>237.5</v>
      </c>
      <c r="E33" s="4">
        <v>8.0500000000000002E-2</v>
      </c>
      <c r="F33" s="4">
        <v>29.3825</v>
      </c>
      <c r="G33" s="4">
        <v>2.415</v>
      </c>
      <c r="H33" s="32">
        <v>1.53</v>
      </c>
      <c r="I33" s="32">
        <v>3.81</v>
      </c>
      <c r="J33" s="32">
        <v>4.5999999999999996</v>
      </c>
      <c r="K33" s="33">
        <f>F33*J33*1000</f>
        <v>135159.49999999997</v>
      </c>
      <c r="L33" s="33">
        <f>K33/D33</f>
        <v>569.09263157894725</v>
      </c>
      <c r="M33" s="42">
        <f>F33*N33</f>
        <v>852.09249999999997</v>
      </c>
      <c r="N33" s="24">
        <v>29</v>
      </c>
      <c r="O33" s="9">
        <f>N33*K33</f>
        <v>3919625.4999999991</v>
      </c>
      <c r="P33" s="9">
        <f>P19/O19*O33</f>
        <v>5109778.2322580628</v>
      </c>
      <c r="Q33" s="9">
        <f>P33*H$50/H$54</f>
        <v>5837885.7269141143</v>
      </c>
      <c r="R33" s="10">
        <f>Q33*H$50/H$58</f>
        <v>6669743.4235706236</v>
      </c>
      <c r="S33" s="9">
        <f>R33</f>
        <v>6669743.4235706236</v>
      </c>
      <c r="T33" s="9">
        <f>R33</f>
        <v>6669743.4235706236</v>
      </c>
      <c r="U33" s="9">
        <f>SUM(P33:T33)</f>
        <v>30956894.229884051</v>
      </c>
    </row>
    <row r="34" spans="1:21" x14ac:dyDescent="0.25">
      <c r="A34" s="85"/>
      <c r="B34" t="s">
        <v>3</v>
      </c>
      <c r="C34" t="s">
        <v>4</v>
      </c>
      <c r="D34">
        <v>1414.5</v>
      </c>
      <c r="E34" s="4">
        <v>0.53650000000000009</v>
      </c>
      <c r="F34" s="4">
        <v>195.82250000000002</v>
      </c>
      <c r="G34" s="4">
        <v>16.095000000000002</v>
      </c>
      <c r="H34" s="32">
        <v>0.25</v>
      </c>
      <c r="I34" s="32">
        <v>2.63</v>
      </c>
      <c r="J34" s="32">
        <v>2.73</v>
      </c>
      <c r="K34" s="33">
        <f t="shared" ref="K34:K37" si="18">F34*J34*1000</f>
        <v>534595.42500000005</v>
      </c>
      <c r="L34" s="33">
        <f t="shared" ref="L34:L35" si="19">K34/D34</f>
        <v>377.9395015906681</v>
      </c>
      <c r="M34" s="42">
        <f>F34*N34</f>
        <v>1958.2250000000001</v>
      </c>
      <c r="N34" s="24">
        <v>10</v>
      </c>
      <c r="O34" s="9">
        <f t="shared" ref="O34:O36" si="20">N34*K34</f>
        <v>5345954.25</v>
      </c>
      <c r="P34" s="9">
        <f>P$5/O$5*O34</f>
        <v>6969196.5870967722</v>
      </c>
      <c r="Q34" s="9">
        <f t="shared" ref="Q34:Q37" si="21">P34*H$50/H$54</f>
        <v>7962258.13226566</v>
      </c>
      <c r="R34" s="10">
        <f>Q34*H$50/H$58</f>
        <v>9096823.9699550197</v>
      </c>
      <c r="S34" s="9">
        <f>R34</f>
        <v>9096823.9699550197</v>
      </c>
      <c r="T34" s="9">
        <f>R34</f>
        <v>9096823.9699550197</v>
      </c>
      <c r="U34" s="9">
        <f>SUM(P34:T34)</f>
        <v>42221926.629227489</v>
      </c>
    </row>
    <row r="35" spans="1:21" x14ac:dyDescent="0.25">
      <c r="A35" s="85"/>
      <c r="B35" t="s">
        <v>6</v>
      </c>
      <c r="C35" t="s">
        <v>7</v>
      </c>
      <c r="D35">
        <v>3349.5</v>
      </c>
      <c r="E35" s="4">
        <v>1.06</v>
      </c>
      <c r="F35" s="4">
        <v>386.90000000000003</v>
      </c>
      <c r="G35" s="4">
        <v>31.8</v>
      </c>
      <c r="H35" s="32">
        <v>0.52</v>
      </c>
      <c r="I35" s="32">
        <v>1.69</v>
      </c>
      <c r="J35" s="32">
        <v>2.04</v>
      </c>
      <c r="K35" s="33">
        <f t="shared" si="18"/>
        <v>789276.00000000012</v>
      </c>
      <c r="L35" s="33">
        <f t="shared" si="19"/>
        <v>235.63994626063595</v>
      </c>
      <c r="M35" s="42">
        <f>F35*N35</f>
        <v>386.90000000000003</v>
      </c>
      <c r="N35" s="24">
        <v>1</v>
      </c>
      <c r="O35" s="9">
        <f t="shared" si="20"/>
        <v>789276.00000000012</v>
      </c>
      <c r="P35" s="9">
        <f>P$5/O$5*O35</f>
        <v>1028931.2905132687</v>
      </c>
      <c r="Q35" s="9">
        <f t="shared" si="21"/>
        <v>1175546.76970947</v>
      </c>
      <c r="R35" s="10">
        <f t="shared" ref="R35:R37" si="22">Q35*H$50/H$58</f>
        <v>1343053.9245094028</v>
      </c>
      <c r="S35" s="9">
        <f>R35</f>
        <v>1343053.9245094028</v>
      </c>
      <c r="T35" s="9">
        <f>R35</f>
        <v>1343053.9245094028</v>
      </c>
      <c r="U35" s="9">
        <f t="shared" ref="U35:U36" si="23">SUM(P35:T35)</f>
        <v>6233639.8337509464</v>
      </c>
    </row>
    <row r="36" spans="1:21" x14ac:dyDescent="0.25">
      <c r="A36" s="85"/>
      <c r="B36" t="s">
        <v>8</v>
      </c>
      <c r="C36" t="s">
        <v>9</v>
      </c>
      <c r="D36">
        <v>44999.5</v>
      </c>
      <c r="E36" s="4">
        <v>13.62</v>
      </c>
      <c r="F36" s="4">
        <v>4971.2999999999993</v>
      </c>
      <c r="G36" s="4">
        <v>408.59999999999997</v>
      </c>
      <c r="H36" s="32">
        <v>0.41</v>
      </c>
      <c r="I36" s="32">
        <v>1.39</v>
      </c>
      <c r="J36" s="32">
        <v>1.81</v>
      </c>
      <c r="K36" s="33">
        <f t="shared" si="18"/>
        <v>8998052.9999999981</v>
      </c>
      <c r="L36" s="33">
        <f>K36/D36</f>
        <v>199.95895509950105</v>
      </c>
      <c r="M36" s="42">
        <f t="shared" ref="M36:M37" si="24">F36*N36</f>
        <v>0</v>
      </c>
      <c r="N36" s="24">
        <v>0</v>
      </c>
      <c r="O36" s="9">
        <f t="shared" si="20"/>
        <v>0</v>
      </c>
      <c r="P36" s="9">
        <f t="shared" ref="P36" si="25">P$5/O$5*O36</f>
        <v>0</v>
      </c>
      <c r="Q36" s="9">
        <f t="shared" si="21"/>
        <v>0</v>
      </c>
      <c r="R36" s="10">
        <f t="shared" si="22"/>
        <v>0</v>
      </c>
      <c r="S36" s="9">
        <f>R36</f>
        <v>0</v>
      </c>
      <c r="T36" s="9">
        <f>R36</f>
        <v>0</v>
      </c>
      <c r="U36" s="9">
        <f t="shared" si="23"/>
        <v>0</v>
      </c>
    </row>
    <row r="37" spans="1:21" x14ac:dyDescent="0.25">
      <c r="A37" s="85"/>
      <c r="B37" t="s">
        <v>62</v>
      </c>
      <c r="C37" t="s">
        <v>63</v>
      </c>
      <c r="D37">
        <f>(250000-100001)/2</f>
        <v>74999.5</v>
      </c>
      <c r="E37" s="4">
        <f>E36*D$9/D$8</f>
        <v>22.700100890009889</v>
      </c>
      <c r="F37" s="4">
        <f>F36*D$9/D$8</f>
        <v>8285.5368248536088</v>
      </c>
      <c r="G37" s="4">
        <f>G36*D$9/D$8</f>
        <v>681.00302670029669</v>
      </c>
      <c r="H37" s="3">
        <v>0.41</v>
      </c>
      <c r="I37" s="4">
        <f>I36*D$9/D$8</f>
        <v>2.3166769630773674</v>
      </c>
      <c r="J37" s="4">
        <f>J36*D$9/D$8</f>
        <v>3.0166800742230468</v>
      </c>
      <c r="K37" s="33">
        <f t="shared" si="18"/>
        <v>24994813.843777172</v>
      </c>
      <c r="L37" s="33">
        <f>K37/D37</f>
        <v>333.26640635973803</v>
      </c>
      <c r="M37" s="42">
        <f t="shared" si="24"/>
        <v>8285.5368248536088</v>
      </c>
      <c r="N37" s="24">
        <v>1</v>
      </c>
      <c r="O37" s="9">
        <f>N37*K37</f>
        <v>24994813.843777172</v>
      </c>
      <c r="P37" s="9">
        <f>P$5/O$5*O37</f>
        <v>32584224.104643438</v>
      </c>
      <c r="Q37" s="9">
        <f t="shared" si="21"/>
        <v>37227247.089157395</v>
      </c>
      <c r="R37" s="10">
        <f t="shared" si="22"/>
        <v>42531868.225141615</v>
      </c>
      <c r="S37" s="9">
        <f>R37</f>
        <v>42531868.225141615</v>
      </c>
      <c r="T37" s="9">
        <f>R37</f>
        <v>42531868.225141615</v>
      </c>
      <c r="U37" s="9">
        <f>SUM(P37:T37)</f>
        <v>197407075.86922568</v>
      </c>
    </row>
    <row r="38" spans="1:21" x14ac:dyDescent="0.25">
      <c r="L38" s="1" t="s">
        <v>52</v>
      </c>
      <c r="M38" s="45">
        <f>SUM(M33:M36)</f>
        <v>3197.2175000000002</v>
      </c>
      <c r="N38">
        <f>SUM(N33:N37)</f>
        <v>41</v>
      </c>
      <c r="O38" s="10">
        <f>SUM(O33:O37)</f>
        <v>35049669.593777172</v>
      </c>
      <c r="P38" s="10">
        <f t="shared" ref="P38" si="26">SUM(P33:P37)</f>
        <v>45692130.214511544</v>
      </c>
      <c r="Q38" s="10">
        <f t="shared" ref="Q38" si="27">SUM(Q33:Q37)</f>
        <v>52202937.718046635</v>
      </c>
      <c r="R38" s="10">
        <f t="shared" ref="R38" si="28">SUM(R33:R37)</f>
        <v>59641489.543176666</v>
      </c>
      <c r="S38" s="10">
        <f t="shared" ref="S38" si="29">SUM(S33:S37)</f>
        <v>59641489.543176666</v>
      </c>
      <c r="T38" s="10">
        <f t="shared" ref="T38" si="30">SUM(T33:T37)</f>
        <v>59641489.543176666</v>
      </c>
      <c r="U38" s="9">
        <f>SUM(P38:T38)</f>
        <v>276819536.56208813</v>
      </c>
    </row>
    <row r="39" spans="1:21" x14ac:dyDescent="0.25">
      <c r="O39" s="10"/>
      <c r="P39" s="52">
        <v>2020</v>
      </c>
      <c r="Q39" s="52">
        <v>2021</v>
      </c>
      <c r="R39" s="52">
        <v>2022</v>
      </c>
      <c r="S39" s="52">
        <v>2023</v>
      </c>
      <c r="T39" s="52">
        <v>2024</v>
      </c>
      <c r="U39" s="10"/>
    </row>
    <row r="40" spans="1:21" x14ac:dyDescent="0.25">
      <c r="O40" s="10"/>
      <c r="P40" s="10"/>
      <c r="Q40" s="10"/>
      <c r="R40" s="10"/>
      <c r="S40" s="10"/>
      <c r="T40" s="10"/>
      <c r="U40" s="10"/>
    </row>
    <row r="41" spans="1:21" x14ac:dyDescent="0.25">
      <c r="O41" s="49" t="s">
        <v>52</v>
      </c>
      <c r="P41" s="50" t="s">
        <v>53</v>
      </c>
      <c r="Q41" s="50" t="s">
        <v>4</v>
      </c>
      <c r="R41" s="50" t="s">
        <v>7</v>
      </c>
      <c r="S41" s="50" t="s">
        <v>9</v>
      </c>
      <c r="T41" s="51" t="s">
        <v>63</v>
      </c>
      <c r="U41" s="51" t="s">
        <v>52</v>
      </c>
    </row>
    <row r="42" spans="1:21" x14ac:dyDescent="0.25">
      <c r="M42" s="84" t="s">
        <v>50</v>
      </c>
      <c r="N42" s="84"/>
      <c r="O42" s="27">
        <f>P38*5</f>
        <v>228460651.07255772</v>
      </c>
      <c r="P42" s="9">
        <f>O42*(N33/N$10)</f>
        <v>161594119.0513213</v>
      </c>
      <c r="Q42" s="9">
        <f>O42*(N34/N$10)</f>
        <v>55722110.017697006</v>
      </c>
      <c r="R42" s="9">
        <f>N35/N$10*O42</f>
        <v>5572211.001769701</v>
      </c>
      <c r="S42" s="9">
        <f>O42*(N$8/N$10)</f>
        <v>0</v>
      </c>
      <c r="T42" s="9">
        <f>O42*N37/N38</f>
        <v>5572211.0017697001</v>
      </c>
      <c r="U42" s="9">
        <f>SUM(P42:T42)</f>
        <v>228460651.07255769</v>
      </c>
    </row>
    <row r="43" spans="1:21" x14ac:dyDescent="0.25">
      <c r="M43" s="84" t="s">
        <v>51</v>
      </c>
      <c r="N43" s="84"/>
      <c r="O43" s="27">
        <f>SUM(P38:T38)</f>
        <v>276819536.56208813</v>
      </c>
      <c r="P43" s="9">
        <f>O43*(N33/N$10)</f>
        <v>195799184.39757451</v>
      </c>
      <c r="Q43" s="9">
        <f>O43*(N34/N$10)</f>
        <v>67516960.137094662</v>
      </c>
      <c r="R43" s="9">
        <f>O43*N35/N$10</f>
        <v>6751696.0137094669</v>
      </c>
      <c r="S43" s="9">
        <f>O43*(N$8/N$10)</f>
        <v>0</v>
      </c>
      <c r="T43" s="9">
        <f>O43*N37/N38</f>
        <v>6751696.0137094669</v>
      </c>
      <c r="U43" s="9">
        <f>SUM(P43:T43)</f>
        <v>276819536.56208813</v>
      </c>
    </row>
    <row r="45" spans="1:21" x14ac:dyDescent="0.25">
      <c r="C45" t="s">
        <v>54</v>
      </c>
    </row>
    <row r="46" spans="1:21" x14ac:dyDescent="0.25">
      <c r="C46" t="s">
        <v>24</v>
      </c>
      <c r="D46" t="s">
        <v>25</v>
      </c>
      <c r="E46" t="s">
        <v>26</v>
      </c>
      <c r="F46" t="s">
        <v>27</v>
      </c>
      <c r="G46" t="s">
        <v>28</v>
      </c>
    </row>
    <row r="47" spans="1:21" x14ac:dyDescent="0.25">
      <c r="C47" t="s">
        <v>29</v>
      </c>
      <c r="D47" t="s">
        <v>30</v>
      </c>
      <c r="E47" t="s">
        <v>31</v>
      </c>
      <c r="F47" t="s">
        <v>32</v>
      </c>
      <c r="G47">
        <v>2.1053504354944002</v>
      </c>
    </row>
    <row r="48" spans="1:21" x14ac:dyDescent="0.25">
      <c r="C48" t="s">
        <v>29</v>
      </c>
      <c r="D48" t="s">
        <v>30</v>
      </c>
      <c r="E48" t="s">
        <v>31</v>
      </c>
      <c r="F48" t="s">
        <v>33</v>
      </c>
      <c r="G48">
        <v>0.44048950245062601</v>
      </c>
    </row>
    <row r="49" spans="3:8" x14ac:dyDescent="0.25">
      <c r="C49" t="s">
        <v>29</v>
      </c>
      <c r="D49" t="s">
        <v>30</v>
      </c>
      <c r="E49" t="s">
        <v>31</v>
      </c>
      <c r="F49" t="s">
        <v>34</v>
      </c>
      <c r="G49">
        <v>1.2534884144327301</v>
      </c>
    </row>
    <row r="50" spans="3:8" x14ac:dyDescent="0.25">
      <c r="C50" t="s">
        <v>29</v>
      </c>
      <c r="D50" t="s">
        <v>30</v>
      </c>
      <c r="E50" t="s">
        <v>31</v>
      </c>
      <c r="F50" t="s">
        <v>35</v>
      </c>
      <c r="G50">
        <v>1.63457528884312</v>
      </c>
      <c r="H50">
        <f>AVERAGE(G51:G54)</f>
        <v>1.9278940174319898</v>
      </c>
    </row>
    <row r="51" spans="3:8" x14ac:dyDescent="0.25">
      <c r="C51" t="s">
        <v>29</v>
      </c>
      <c r="D51" t="s">
        <v>30</v>
      </c>
      <c r="E51" t="s">
        <v>31</v>
      </c>
      <c r="F51" t="s">
        <v>36</v>
      </c>
      <c r="G51">
        <v>1.5550121803780701</v>
      </c>
    </row>
    <row r="52" spans="3:8" x14ac:dyDescent="0.25">
      <c r="C52" t="s">
        <v>29</v>
      </c>
      <c r="D52" t="s">
        <v>30</v>
      </c>
      <c r="E52" t="s">
        <v>31</v>
      </c>
      <c r="F52" t="s">
        <v>37</v>
      </c>
      <c r="G52">
        <v>2.8294588082256902</v>
      </c>
    </row>
    <row r="53" spans="3:8" x14ac:dyDescent="0.25">
      <c r="C53" t="s">
        <v>29</v>
      </c>
      <c r="D53" t="s">
        <v>30</v>
      </c>
      <c r="E53" t="s">
        <v>31</v>
      </c>
      <c r="F53" t="s">
        <v>38</v>
      </c>
      <c r="G53">
        <v>1.9496292339758301</v>
      </c>
    </row>
    <row r="54" spans="3:8" x14ac:dyDescent="0.25">
      <c r="C54" t="s">
        <v>29</v>
      </c>
      <c r="D54" t="s">
        <v>30</v>
      </c>
      <c r="E54" t="s">
        <v>31</v>
      </c>
      <c r="F54" t="s">
        <v>39</v>
      </c>
      <c r="G54">
        <v>1.3774758471483699</v>
      </c>
      <c r="H54">
        <f>AVERAGE(G55:G58)</f>
        <v>1.6874449664128299</v>
      </c>
    </row>
    <row r="55" spans="3:8" x14ac:dyDescent="0.25">
      <c r="C55" t="s">
        <v>29</v>
      </c>
      <c r="D55" t="s">
        <v>30</v>
      </c>
      <c r="E55" t="s">
        <v>31</v>
      </c>
      <c r="F55" t="s">
        <v>40</v>
      </c>
      <c r="G55">
        <v>1.5573162820779001</v>
      </c>
    </row>
    <row r="56" spans="3:8" x14ac:dyDescent="0.25">
      <c r="C56" t="s">
        <v>29</v>
      </c>
      <c r="D56" t="s">
        <v>30</v>
      </c>
      <c r="E56" t="s">
        <v>31</v>
      </c>
      <c r="F56" t="s">
        <v>41</v>
      </c>
      <c r="G56">
        <v>1.66934768701467</v>
      </c>
    </row>
    <row r="57" spans="3:8" x14ac:dyDescent="0.25">
      <c r="C57" t="s">
        <v>29</v>
      </c>
      <c r="D57" t="s">
        <v>30</v>
      </c>
      <c r="E57" t="s">
        <v>31</v>
      </c>
      <c r="F57" t="s">
        <v>42</v>
      </c>
      <c r="G57">
        <v>1.73122695084699</v>
      </c>
    </row>
    <row r="58" spans="3:8" x14ac:dyDescent="0.25">
      <c r="C58" t="s">
        <v>29</v>
      </c>
      <c r="D58" t="s">
        <v>30</v>
      </c>
      <c r="E58" t="s">
        <v>31</v>
      </c>
      <c r="F58" t="s">
        <v>43</v>
      </c>
      <c r="G58">
        <v>1.7918889457117599</v>
      </c>
      <c r="H58">
        <f>AVERAGE(G55:G58)</f>
        <v>1.6874449664128299</v>
      </c>
    </row>
  </sheetData>
  <mergeCells count="7">
    <mergeCell ref="M42:N42"/>
    <mergeCell ref="M43:N43"/>
    <mergeCell ref="A3:A37"/>
    <mergeCell ref="M28:N28"/>
    <mergeCell ref="M29:N29"/>
    <mergeCell ref="M14:N14"/>
    <mergeCell ref="M15:N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0FF9-696D-4AA3-B4C9-916BE9555B4B}">
  <dimension ref="A1:O40"/>
  <sheetViews>
    <sheetView workbookViewId="0">
      <selection activeCell="H5" sqref="H5"/>
    </sheetView>
  </sheetViews>
  <sheetFormatPr defaultRowHeight="15" x14ac:dyDescent="0.25"/>
  <cols>
    <col min="5" max="5" width="14.140625" customWidth="1"/>
    <col min="6" max="6" width="10.140625" customWidth="1"/>
    <col min="7" max="7" width="13.7109375" customWidth="1"/>
    <col min="8" max="8" width="13.5703125" customWidth="1"/>
    <col min="10" max="10" width="12.42578125" customWidth="1"/>
    <col min="11" max="11" width="18" bestFit="1" customWidth="1"/>
    <col min="12" max="13" width="15.28515625" bestFit="1" customWidth="1"/>
    <col min="15" max="15" width="18" bestFit="1" customWidth="1"/>
    <col min="16" max="16" width="11" bestFit="1" customWidth="1"/>
  </cols>
  <sheetData>
    <row r="1" spans="1:13" x14ac:dyDescent="0.25">
      <c r="A1" t="s">
        <v>75</v>
      </c>
    </row>
    <row r="3" spans="1:13" x14ac:dyDescent="0.25">
      <c r="E3" s="86" t="s">
        <v>17</v>
      </c>
      <c r="F3" s="86"/>
      <c r="G3" s="86"/>
      <c r="H3" s="87" t="s">
        <v>18</v>
      </c>
      <c r="I3" s="87"/>
      <c r="J3" s="87"/>
    </row>
    <row r="4" spans="1:13" ht="45" x14ac:dyDescent="0.25">
      <c r="E4" s="2" t="s">
        <v>60</v>
      </c>
      <c r="F4" s="63" t="s">
        <v>61</v>
      </c>
      <c r="G4" s="63" t="s">
        <v>76</v>
      </c>
      <c r="H4" s="2" t="s">
        <v>60</v>
      </c>
      <c r="I4" s="2" t="s">
        <v>61</v>
      </c>
      <c r="J4" s="2" t="s">
        <v>76</v>
      </c>
    </row>
    <row r="5" spans="1:13" x14ac:dyDescent="0.25">
      <c r="B5" t="s">
        <v>1</v>
      </c>
      <c r="C5" t="s">
        <v>2</v>
      </c>
      <c r="E5" s="57">
        <v>852.09249999999997</v>
      </c>
      <c r="F5" s="64">
        <v>29</v>
      </c>
      <c r="G5" s="64">
        <f>E5*F5</f>
        <v>24710.682499999999</v>
      </c>
      <c r="H5" s="5">
        <v>235.06</v>
      </c>
      <c r="I5" s="5">
        <v>8</v>
      </c>
      <c r="J5" s="5">
        <f>H5*I5</f>
        <v>1880.48</v>
      </c>
    </row>
    <row r="6" spans="1:13" x14ac:dyDescent="0.25">
      <c r="B6" t="s">
        <v>3</v>
      </c>
      <c r="C6" t="s">
        <v>4</v>
      </c>
      <c r="E6" s="57">
        <v>1958.2250000000001</v>
      </c>
      <c r="F6" s="64">
        <v>10</v>
      </c>
      <c r="G6" s="64">
        <f t="shared" ref="G6:G9" si="0">E6*F6</f>
        <v>19582.25</v>
      </c>
      <c r="H6" s="5">
        <v>1174.9350000000002</v>
      </c>
      <c r="I6" s="5">
        <v>6</v>
      </c>
      <c r="J6" s="5">
        <f t="shared" ref="J6:J9" si="1">H6*I6</f>
        <v>7049.6100000000006</v>
      </c>
    </row>
    <row r="7" spans="1:13" x14ac:dyDescent="0.25">
      <c r="B7" t="s">
        <v>6</v>
      </c>
      <c r="C7" t="s">
        <v>7</v>
      </c>
      <c r="E7" s="57">
        <v>386.90000000000003</v>
      </c>
      <c r="F7" s="64">
        <v>1</v>
      </c>
      <c r="G7" s="64">
        <f t="shared" si="0"/>
        <v>386.90000000000003</v>
      </c>
      <c r="H7" s="5">
        <v>386.90000000000003</v>
      </c>
      <c r="I7" s="5">
        <v>1</v>
      </c>
      <c r="J7" s="5">
        <f t="shared" si="1"/>
        <v>386.90000000000003</v>
      </c>
    </row>
    <row r="8" spans="1:13" x14ac:dyDescent="0.25">
      <c r="B8" t="s">
        <v>8</v>
      </c>
      <c r="C8" t="s">
        <v>9</v>
      </c>
      <c r="E8" s="57">
        <v>0</v>
      </c>
      <c r="F8" s="64">
        <v>0</v>
      </c>
      <c r="G8" s="64">
        <f t="shared" si="0"/>
        <v>0</v>
      </c>
      <c r="H8" s="5">
        <v>9942.5999999999985</v>
      </c>
      <c r="I8" s="5">
        <v>2</v>
      </c>
      <c r="J8" s="5">
        <f t="shared" si="1"/>
        <v>19885.199999999997</v>
      </c>
    </row>
    <row r="9" spans="1:13" x14ac:dyDescent="0.25">
      <c r="B9" t="s">
        <v>62</v>
      </c>
      <c r="C9" t="s">
        <v>63</v>
      </c>
      <c r="E9" s="57">
        <v>8285.5368248536088</v>
      </c>
      <c r="F9" s="64">
        <v>1</v>
      </c>
      <c r="G9" s="64">
        <f t="shared" si="0"/>
        <v>8285.5368248536088</v>
      </c>
      <c r="H9" s="5">
        <v>0</v>
      </c>
      <c r="I9" s="5">
        <v>0</v>
      </c>
      <c r="J9" s="5">
        <f t="shared" si="1"/>
        <v>0</v>
      </c>
    </row>
    <row r="10" spans="1:13" x14ac:dyDescent="0.25">
      <c r="D10" t="s">
        <v>52</v>
      </c>
      <c r="E10" s="58">
        <v>3197.2175000000002</v>
      </c>
      <c r="F10" s="5">
        <v>41</v>
      </c>
      <c r="G10" s="60">
        <f>SUM(G5:G9)</f>
        <v>52965.369324853607</v>
      </c>
      <c r="H10" s="5">
        <v>11739.494999999999</v>
      </c>
      <c r="I10" s="5">
        <v>17</v>
      </c>
      <c r="J10" s="60">
        <f>SUM(J5:J9)</f>
        <v>29202.189999999995</v>
      </c>
      <c r="K10" s="61"/>
      <c r="L10" s="61"/>
      <c r="M10" s="61"/>
    </row>
    <row r="24" spans="14:15" x14ac:dyDescent="0.25">
      <c r="N24" s="2"/>
      <c r="O24" s="2"/>
    </row>
    <row r="35" spans="15:15" x14ac:dyDescent="0.25">
      <c r="O35" s="59"/>
    </row>
    <row r="36" spans="15:15" x14ac:dyDescent="0.25">
      <c r="O36" s="59"/>
    </row>
    <row r="37" spans="15:15" x14ac:dyDescent="0.25">
      <c r="O37" s="59"/>
    </row>
    <row r="38" spans="15:15" x14ac:dyDescent="0.25">
      <c r="O38" s="59"/>
    </row>
    <row r="39" spans="15:15" x14ac:dyDescent="0.25">
      <c r="O39" s="59"/>
    </row>
    <row r="40" spans="15:15" x14ac:dyDescent="0.25">
      <c r="O40" s="62"/>
    </row>
  </sheetData>
  <mergeCells count="2">
    <mergeCell ref="E3:G3"/>
    <mergeCell ref="H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933D-802A-41BD-AD78-EC74BDFE0279}">
  <dimension ref="A1:S42"/>
  <sheetViews>
    <sheetView workbookViewId="0">
      <selection activeCell="P11" sqref="P11"/>
    </sheetView>
  </sheetViews>
  <sheetFormatPr defaultRowHeight="15" x14ac:dyDescent="0.25"/>
  <cols>
    <col min="4" max="4" width="24.7109375" customWidth="1"/>
    <col min="5" max="5" width="16.140625" customWidth="1"/>
    <col min="6" max="6" width="16.42578125" bestFit="1" customWidth="1"/>
    <col min="7" max="7" width="16.28515625" bestFit="1" customWidth="1"/>
    <col min="8" max="8" width="15.42578125" bestFit="1" customWidth="1"/>
    <col min="9" max="9" width="15" customWidth="1"/>
    <col min="10" max="10" width="15.42578125" bestFit="1" customWidth="1"/>
    <col min="13" max="13" width="15.42578125" customWidth="1"/>
    <col min="14" max="14" width="16.7109375" customWidth="1"/>
    <col min="15" max="15" width="17.140625" customWidth="1"/>
    <col min="16" max="17" width="16.7109375" customWidth="1"/>
    <col min="18" max="18" width="16.28515625" bestFit="1" customWidth="1"/>
    <col min="19" max="19" width="14.28515625" bestFit="1" customWidth="1"/>
  </cols>
  <sheetData>
    <row r="1" spans="1:19" x14ac:dyDescent="0.25">
      <c r="A1" t="s">
        <v>69</v>
      </c>
    </row>
    <row r="2" spans="1:19" x14ac:dyDescent="0.25">
      <c r="M2" s="84" t="s">
        <v>81</v>
      </c>
      <c r="N2" s="84"/>
      <c r="O2" s="84"/>
      <c r="P2" s="84"/>
      <c r="Q2" s="84"/>
      <c r="R2" s="84"/>
    </row>
    <row r="3" spans="1:19" x14ac:dyDescent="0.25">
      <c r="D3" s="88" t="s">
        <v>70</v>
      </c>
      <c r="E3" s="88"/>
      <c r="F3" s="88"/>
      <c r="G3" s="88"/>
      <c r="H3" s="88"/>
      <c r="I3" s="88"/>
      <c r="J3" s="88"/>
      <c r="M3" s="1" t="s">
        <v>23</v>
      </c>
      <c r="N3" s="1" t="s">
        <v>71</v>
      </c>
      <c r="O3" s="1" t="s">
        <v>79</v>
      </c>
      <c r="P3" s="1" t="s">
        <v>6</v>
      </c>
      <c r="Q3" s="1" t="s">
        <v>78</v>
      </c>
      <c r="R3" s="1" t="s">
        <v>77</v>
      </c>
    </row>
    <row r="4" spans="1:19" x14ac:dyDescent="0.25">
      <c r="E4" s="6" t="s">
        <v>52</v>
      </c>
      <c r="F4" s="6" t="s">
        <v>53</v>
      </c>
      <c r="G4" s="6" t="s">
        <v>4</v>
      </c>
      <c r="H4" s="6" t="s">
        <v>7</v>
      </c>
      <c r="I4" s="6" t="s">
        <v>9</v>
      </c>
      <c r="J4" s="6" t="s">
        <v>63</v>
      </c>
      <c r="M4" s="11" t="s">
        <v>80</v>
      </c>
      <c r="N4" s="7">
        <v>44.154309707896587</v>
      </c>
      <c r="O4" s="7">
        <f>(P4-N4)</f>
        <v>112.73882753423972</v>
      </c>
      <c r="P4" s="7">
        <v>156.89313724213631</v>
      </c>
      <c r="Q4" s="7">
        <f>(R4-P4)</f>
        <v>126.81340253166226</v>
      </c>
      <c r="R4" s="7">
        <v>283.70653977379857</v>
      </c>
      <c r="S4" s="7"/>
    </row>
    <row r="5" spans="1:19" x14ac:dyDescent="0.25">
      <c r="C5" s="1" t="s">
        <v>71</v>
      </c>
      <c r="D5" t="s">
        <v>50</v>
      </c>
      <c r="E5" s="9">
        <v>51000356.879948683</v>
      </c>
      <c r="F5" s="9">
        <v>24000167.943505261</v>
      </c>
      <c r="G5" s="9">
        <v>18000125.957628947</v>
      </c>
      <c r="H5" s="9">
        <v>3000020.9929381576</v>
      </c>
      <c r="I5" s="9">
        <v>6000041.9858763153</v>
      </c>
      <c r="J5" s="9">
        <v>0</v>
      </c>
      <c r="M5" s="11" t="s">
        <v>4</v>
      </c>
      <c r="N5" s="7">
        <v>24.949830014315612</v>
      </c>
      <c r="O5" s="7">
        <f>(P5-N5)</f>
        <v>59.955172549118117</v>
      </c>
      <c r="P5" s="7">
        <v>84.905002563433726</v>
      </c>
      <c r="Q5" s="7">
        <f>(R5-P5)</f>
        <v>62.401422996121227</v>
      </c>
      <c r="R5" s="7">
        <v>147.30642555955495</v>
      </c>
    </row>
    <row r="6" spans="1:19" x14ac:dyDescent="0.25">
      <c r="D6" t="s">
        <v>51</v>
      </c>
      <c r="E6" s="9">
        <v>56814110.884378612</v>
      </c>
      <c r="F6" s="9">
        <v>26736052.180884052</v>
      </c>
      <c r="G6" s="9">
        <v>20052039.13566304</v>
      </c>
      <c r="H6" s="9">
        <v>3342006.5226105065</v>
      </c>
      <c r="I6" s="9">
        <v>6684013.045221013</v>
      </c>
      <c r="J6" s="9">
        <v>0</v>
      </c>
      <c r="M6" s="11" t="s">
        <v>7</v>
      </c>
      <c r="N6" s="7">
        <v>3.6949913986068244</v>
      </c>
      <c r="O6" s="7">
        <f>(P6-N6)</f>
        <v>8.5968437595161848</v>
      </c>
      <c r="P6" s="7">
        <v>12.291835158123009</v>
      </c>
      <c r="Q6" s="7">
        <f>(R6-P6)</f>
        <v>8.5444284339563499</v>
      </c>
      <c r="R6" s="7">
        <v>20.836263592079359</v>
      </c>
    </row>
    <row r="7" spans="1:19" x14ac:dyDescent="0.25">
      <c r="M7" s="11" t="s">
        <v>9</v>
      </c>
      <c r="N7" s="7">
        <v>6.0000419858763152</v>
      </c>
      <c r="O7" s="7">
        <f>(P7-N7)</f>
        <v>13.006632523021871</v>
      </c>
      <c r="P7" s="7">
        <v>19.006674508898186</v>
      </c>
      <c r="Q7" s="7">
        <f>(R7-P7)</f>
        <v>11.521430671721131</v>
      </c>
      <c r="R7" s="7">
        <v>30.528105180619317</v>
      </c>
    </row>
    <row r="8" spans="1:19" x14ac:dyDescent="0.25">
      <c r="E8" s="6" t="s">
        <v>52</v>
      </c>
      <c r="F8" s="6" t="s">
        <v>53</v>
      </c>
      <c r="G8" s="6" t="s">
        <v>4</v>
      </c>
      <c r="H8" s="6" t="s">
        <v>7</v>
      </c>
      <c r="I8" s="6" t="s">
        <v>9</v>
      </c>
      <c r="J8" s="6" t="s">
        <v>63</v>
      </c>
      <c r="M8" s="11" t="s">
        <v>63</v>
      </c>
      <c r="N8" s="7">
        <v>0.69497040566866652</v>
      </c>
      <c r="O8" s="7">
        <f>(P8-N8)</f>
        <v>2.0935274980052494</v>
      </c>
      <c r="P8" s="7">
        <v>2.7884979036739161</v>
      </c>
      <c r="Q8" s="7">
        <f>(R8-P8)</f>
        <v>2.783713098095784</v>
      </c>
      <c r="R8" s="7">
        <v>5.5722110017697002</v>
      </c>
    </row>
    <row r="9" spans="1:19" x14ac:dyDescent="0.25">
      <c r="C9" s="1" t="s">
        <v>6</v>
      </c>
      <c r="D9" t="s">
        <v>50</v>
      </c>
      <c r="E9" s="9">
        <v>161556733.3256346</v>
      </c>
      <c r="F9" s="9">
        <v>76026698.03559275</v>
      </c>
      <c r="G9" s="9">
        <v>57020023.526694566</v>
      </c>
      <c r="H9" s="9">
        <v>9503337.2544490937</v>
      </c>
      <c r="I9" s="9">
        <v>19006674.508898187</v>
      </c>
      <c r="J9" s="9">
        <v>0</v>
      </c>
    </row>
    <row r="10" spans="1:19" x14ac:dyDescent="0.25">
      <c r="D10" t="s">
        <v>51</v>
      </c>
      <c r="E10" s="9">
        <v>179973292.79257047</v>
      </c>
      <c r="F10" s="9">
        <v>84693314.255327284</v>
      </c>
      <c r="G10" s="9">
        <v>63519985.691495463</v>
      </c>
      <c r="H10" s="9">
        <v>10586664.281915911</v>
      </c>
      <c r="I10" s="9">
        <v>21173328.563831821</v>
      </c>
      <c r="J10" s="9">
        <v>0</v>
      </c>
      <c r="M10" s="1" t="s">
        <v>23</v>
      </c>
      <c r="N10" s="1" t="s">
        <v>71</v>
      </c>
      <c r="O10" s="1" t="s">
        <v>79</v>
      </c>
      <c r="P10" s="1" t="s">
        <v>6</v>
      </c>
      <c r="Q10" s="1" t="s">
        <v>78</v>
      </c>
      <c r="R10" s="1" t="s">
        <v>77</v>
      </c>
    </row>
    <row r="11" spans="1:19" x14ac:dyDescent="0.25">
      <c r="M11" s="11" t="s">
        <v>80</v>
      </c>
      <c r="N11" s="7">
        <v>22.873558604257539</v>
      </c>
      <c r="O11" s="7">
        <f>P11-N11</f>
        <v>75.693903738651514</v>
      </c>
      <c r="P11" s="7">
        <v>98.567462342909053</v>
      </c>
      <c r="Q11" s="7">
        <f>R11-P11</f>
        <v>98.032346719637431</v>
      </c>
      <c r="R11" s="7">
        <v>196.59980906254648</v>
      </c>
      <c r="S11" s="7"/>
    </row>
    <row r="12" spans="1:19" x14ac:dyDescent="0.25">
      <c r="E12" s="6" t="s">
        <v>52</v>
      </c>
      <c r="F12" s="6" t="s">
        <v>53</v>
      </c>
      <c r="G12" s="6" t="s">
        <v>4</v>
      </c>
      <c r="H12" s="6" t="s">
        <v>7</v>
      </c>
      <c r="I12" s="6" t="s">
        <v>9</v>
      </c>
      <c r="J12" s="6" t="s">
        <v>63</v>
      </c>
      <c r="M12" s="11" t="s">
        <v>4</v>
      </c>
      <c r="N12" s="7">
        <v>13.131820461465036</v>
      </c>
      <c r="O12" s="7">
        <f t="shared" ref="O12:O15" si="0">P12-N12</f>
        <v>40.147312499322112</v>
      </c>
      <c r="P12" s="7">
        <v>53.279132960787145</v>
      </c>
      <c r="Q12" s="7">
        <f t="shared" ref="Q12:Q15" si="1">R12-P12</f>
        <v>46.300825841193678</v>
      </c>
      <c r="R12" s="7">
        <v>99.579958801980823</v>
      </c>
    </row>
    <row r="13" spans="1:19" x14ac:dyDescent="0.25">
      <c r="D13" t="s">
        <v>50</v>
      </c>
      <c r="E13" s="9">
        <v>259488894.03526419</v>
      </c>
      <c r="F13" s="9">
        <v>122112420.72247727</v>
      </c>
      <c r="G13" s="9">
        <v>91584315.541857958</v>
      </c>
      <c r="H13" s="9">
        <v>15264052.590309659</v>
      </c>
      <c r="I13" s="9">
        <v>30528105.180619318</v>
      </c>
      <c r="J13" s="9">
        <v>0</v>
      </c>
      <c r="M13" s="11" t="s">
        <v>7</v>
      </c>
      <c r="N13" s="7">
        <v>1.9603616518482505</v>
      </c>
      <c r="O13" s="7">
        <f t="shared" si="0"/>
        <v>5.7480632716080668</v>
      </c>
      <c r="P13" s="7">
        <v>7.7084249234563176</v>
      </c>
      <c r="Q13" s="7">
        <f t="shared" si="1"/>
        <v>6.1722122956012493</v>
      </c>
      <c r="R13" s="7">
        <v>13.880637219057567</v>
      </c>
    </row>
    <row r="14" spans="1:19" x14ac:dyDescent="0.25">
      <c r="C14" s="1" t="s">
        <v>72</v>
      </c>
      <c r="D14" t="s">
        <v>51</v>
      </c>
      <c r="E14" s="9">
        <v>289069169.33321476</v>
      </c>
      <c r="F14" s="9">
        <v>136032550.274454</v>
      </c>
      <c r="G14" s="9">
        <v>102024412.70584051</v>
      </c>
      <c r="H14" s="9">
        <v>17004068.78430675</v>
      </c>
      <c r="I14" s="9">
        <v>34008137.568613499</v>
      </c>
      <c r="J14" s="9">
        <v>0</v>
      </c>
      <c r="M14" s="11" t="s">
        <v>9</v>
      </c>
      <c r="N14" s="7">
        <v>3.235898028508736</v>
      </c>
      <c r="O14" s="7">
        <f t="shared" si="0"/>
        <v>8.6666601083792791</v>
      </c>
      <c r="P14" s="7">
        <v>11.902558136888015</v>
      </c>
      <c r="Q14" s="7">
        <f t="shared" si="1"/>
        <v>7.7106485574094066</v>
      </c>
      <c r="R14" s="7">
        <v>19.613206694297421</v>
      </c>
    </row>
    <row r="15" spans="1:19" x14ac:dyDescent="0.25">
      <c r="M15" s="11" t="s">
        <v>63</v>
      </c>
      <c r="N15" s="7">
        <v>0.34241263759388268</v>
      </c>
      <c r="O15" s="7">
        <f t="shared" si="0"/>
        <v>1.4147332174184277</v>
      </c>
      <c r="P15" s="7">
        <v>1.7571458550123105</v>
      </c>
      <c r="Q15" s="7">
        <f t="shared" si="1"/>
        <v>2.316888016896546</v>
      </c>
      <c r="R15" s="7">
        <v>4.0740338719088562</v>
      </c>
    </row>
    <row r="17" spans="3:10" x14ac:dyDescent="0.25">
      <c r="D17" s="89" t="s">
        <v>73</v>
      </c>
      <c r="E17" s="89"/>
      <c r="F17" s="89"/>
      <c r="G17" s="89"/>
      <c r="H17" s="89"/>
      <c r="I17" s="89"/>
      <c r="J17" s="89"/>
    </row>
    <row r="18" spans="3:10" x14ac:dyDescent="0.25">
      <c r="E18" s="11" t="s">
        <v>52</v>
      </c>
      <c r="F18" s="11" t="s">
        <v>53</v>
      </c>
      <c r="G18" s="11" t="s">
        <v>4</v>
      </c>
      <c r="H18" s="11" t="s">
        <v>7</v>
      </c>
      <c r="I18" s="11" t="s">
        <v>9</v>
      </c>
      <c r="J18" s="11" t="s">
        <v>63</v>
      </c>
    </row>
    <row r="19" spans="3:10" x14ac:dyDescent="0.25">
      <c r="D19" t="s">
        <v>50</v>
      </c>
      <c r="E19" s="9">
        <v>28493786.632415324</v>
      </c>
      <c r="F19" s="9">
        <v>20154141.764391325</v>
      </c>
      <c r="G19" s="9">
        <v>6949704.056686664</v>
      </c>
      <c r="H19" s="9">
        <v>694970.40566866647</v>
      </c>
      <c r="I19" s="9">
        <v>0</v>
      </c>
      <c r="J19" s="9">
        <v>694970.40566866647</v>
      </c>
    </row>
    <row r="20" spans="3:10" x14ac:dyDescent="0.25">
      <c r="C20" s="1" t="s">
        <v>71</v>
      </c>
      <c r="D20" t="s">
        <v>51</v>
      </c>
      <c r="E20" s="9">
        <v>31741918.141093172</v>
      </c>
      <c r="F20" s="9">
        <v>22451600.636382975</v>
      </c>
      <c r="G20" s="9">
        <v>7741931.2539251633</v>
      </c>
      <c r="H20" s="9">
        <v>774193.12539251638</v>
      </c>
      <c r="I20" s="9">
        <v>0</v>
      </c>
      <c r="J20" s="9">
        <v>774193.12539251638</v>
      </c>
    </row>
    <row r="22" spans="3:10" x14ac:dyDescent="0.25">
      <c r="E22" s="11" t="s">
        <v>52</v>
      </c>
      <c r="F22" s="11" t="s">
        <v>53</v>
      </c>
      <c r="G22" s="11" t="s">
        <v>4</v>
      </c>
      <c r="H22" s="11" t="s">
        <v>7</v>
      </c>
      <c r="I22" s="11" t="s">
        <v>9</v>
      </c>
      <c r="J22" s="11" t="s">
        <v>63</v>
      </c>
    </row>
    <row r="23" spans="3:10" x14ac:dyDescent="0.25">
      <c r="D23" t="s">
        <v>50</v>
      </c>
      <c r="E23" s="54">
        <v>114328414.05063055</v>
      </c>
      <c r="F23" s="9">
        <v>80866439.206543565</v>
      </c>
      <c r="G23" s="9">
        <v>27884979.036739159</v>
      </c>
      <c r="H23" s="9">
        <v>2788497.9036739161</v>
      </c>
      <c r="I23" s="9">
        <v>0</v>
      </c>
      <c r="J23" s="9">
        <v>2788497.9036739161</v>
      </c>
    </row>
    <row r="24" spans="3:10" x14ac:dyDescent="0.25">
      <c r="C24" s="1" t="s">
        <v>6</v>
      </c>
      <c r="D24" t="s">
        <v>51</v>
      </c>
      <c r="E24" s="54">
        <v>127361210.59696808</v>
      </c>
      <c r="F24" s="9">
        <v>90084758.714928642</v>
      </c>
      <c r="G24" s="9">
        <v>31063709.901699532</v>
      </c>
      <c r="H24" s="9">
        <v>3106370.9901699531</v>
      </c>
      <c r="I24" s="9">
        <v>0</v>
      </c>
      <c r="J24" s="9">
        <v>3106370.9901699531</v>
      </c>
    </row>
    <row r="26" spans="3:10" x14ac:dyDescent="0.25">
      <c r="E26" s="11" t="s">
        <v>52</v>
      </c>
      <c r="F26" s="11" t="s">
        <v>53</v>
      </c>
      <c r="G26" s="11" t="s">
        <v>4</v>
      </c>
      <c r="H26" s="11" t="s">
        <v>7</v>
      </c>
      <c r="I26" s="11" t="s">
        <v>9</v>
      </c>
      <c r="J26" s="11" t="s">
        <v>63</v>
      </c>
    </row>
    <row r="27" spans="3:10" x14ac:dyDescent="0.25">
      <c r="D27" t="s">
        <v>50</v>
      </c>
      <c r="E27" s="9">
        <v>228460651.07255772</v>
      </c>
      <c r="F27" s="9">
        <v>161594119.0513213</v>
      </c>
      <c r="G27" s="9">
        <v>55722110.017697006</v>
      </c>
      <c r="H27" s="9">
        <v>5572211.001769701</v>
      </c>
      <c r="I27" s="9">
        <v>0</v>
      </c>
      <c r="J27" s="9">
        <v>5572211.0017697001</v>
      </c>
    </row>
    <row r="28" spans="3:10" x14ac:dyDescent="0.25">
      <c r="D28" t="s">
        <v>51</v>
      </c>
      <c r="E28" s="9">
        <v>276819536.56208813</v>
      </c>
      <c r="F28" s="9">
        <v>195799184.39757451</v>
      </c>
      <c r="G28" s="9">
        <v>67516960.137094662</v>
      </c>
      <c r="H28" s="9">
        <v>6751696.0137094669</v>
      </c>
      <c r="I28" s="9">
        <v>0</v>
      </c>
      <c r="J28" s="9">
        <v>6751696.0137094669</v>
      </c>
    </row>
    <row r="29" spans="3:10" x14ac:dyDescent="0.25">
      <c r="C29" s="1" t="s">
        <v>72</v>
      </c>
    </row>
    <row r="31" spans="3:10" x14ac:dyDescent="0.25">
      <c r="D31" s="90" t="s">
        <v>74</v>
      </c>
      <c r="E31" s="90"/>
      <c r="F31" s="90"/>
      <c r="G31" s="90"/>
      <c r="H31" s="90"/>
      <c r="I31" s="90"/>
      <c r="J31" s="90"/>
    </row>
    <row r="32" spans="3:10" x14ac:dyDescent="0.25">
      <c r="E32" s="11" t="s">
        <v>52</v>
      </c>
      <c r="F32" s="11" t="s">
        <v>53</v>
      </c>
      <c r="G32" s="11" t="s">
        <v>4</v>
      </c>
      <c r="H32" s="11" t="s">
        <v>7</v>
      </c>
      <c r="I32" s="11" t="s">
        <v>9</v>
      </c>
      <c r="J32" s="11" t="s">
        <v>63</v>
      </c>
    </row>
    <row r="33" spans="3:10" x14ac:dyDescent="0.25">
      <c r="C33" s="1" t="s">
        <v>71</v>
      </c>
      <c r="D33" t="s">
        <v>50</v>
      </c>
      <c r="E33" s="10">
        <f t="shared" ref="E33:J34" si="2">E5+E19</f>
        <v>79494143.512364</v>
      </c>
      <c r="F33" s="10">
        <f t="shared" si="2"/>
        <v>44154309.70789659</v>
      </c>
      <c r="G33" s="10">
        <f t="shared" si="2"/>
        <v>24949830.014315613</v>
      </c>
      <c r="H33" s="10">
        <f t="shared" si="2"/>
        <v>3694991.3986068242</v>
      </c>
      <c r="I33" s="10">
        <f t="shared" si="2"/>
        <v>6000041.9858763153</v>
      </c>
      <c r="J33" s="10">
        <f t="shared" si="2"/>
        <v>694970.40566866647</v>
      </c>
    </row>
    <row r="34" spans="3:10" x14ac:dyDescent="0.25">
      <c r="D34" t="s">
        <v>51</v>
      </c>
      <c r="E34" s="10">
        <f t="shared" si="2"/>
        <v>88556029.025471777</v>
      </c>
      <c r="F34" s="10">
        <f t="shared" si="2"/>
        <v>49187652.81726703</v>
      </c>
      <c r="G34" s="10">
        <f t="shared" si="2"/>
        <v>27793970.389588203</v>
      </c>
      <c r="H34" s="10">
        <f t="shared" si="2"/>
        <v>4116199.6480030231</v>
      </c>
      <c r="I34" s="10">
        <f t="shared" si="2"/>
        <v>6684013.045221013</v>
      </c>
      <c r="J34" s="10">
        <f t="shared" si="2"/>
        <v>774193.12539251638</v>
      </c>
    </row>
    <row r="36" spans="3:10" x14ac:dyDescent="0.25">
      <c r="E36" s="11" t="s">
        <v>52</v>
      </c>
      <c r="F36" s="11" t="s">
        <v>53</v>
      </c>
      <c r="G36" s="11" t="s">
        <v>4</v>
      </c>
      <c r="H36" s="11" t="s">
        <v>7</v>
      </c>
      <c r="I36" s="11" t="s">
        <v>9</v>
      </c>
      <c r="J36" s="11" t="s">
        <v>63</v>
      </c>
    </row>
    <row r="37" spans="3:10" x14ac:dyDescent="0.25">
      <c r="C37" s="1" t="s">
        <v>6</v>
      </c>
      <c r="D37" t="s">
        <v>50</v>
      </c>
      <c r="E37" s="10">
        <f>E9+E23</f>
        <v>275885147.37626517</v>
      </c>
      <c r="F37" s="10">
        <f t="shared" ref="F37:J37" si="3">F9+F23</f>
        <v>156893137.2421363</v>
      </c>
      <c r="G37" s="10">
        <f t="shared" si="3"/>
        <v>84905002.563433722</v>
      </c>
      <c r="H37" s="10">
        <f t="shared" si="3"/>
        <v>12291835.158123009</v>
      </c>
      <c r="I37" s="10">
        <f t="shared" si="3"/>
        <v>19006674.508898187</v>
      </c>
      <c r="J37" s="10">
        <f t="shared" si="3"/>
        <v>2788497.9036739161</v>
      </c>
    </row>
    <row r="38" spans="3:10" x14ac:dyDescent="0.25">
      <c r="D38" t="s">
        <v>51</v>
      </c>
      <c r="E38" s="10">
        <f>E10+E24</f>
        <v>307334503.38953853</v>
      </c>
      <c r="F38" s="10">
        <f t="shared" ref="F38:J38" si="4">F10+F24</f>
        <v>174778072.97025591</v>
      </c>
      <c r="G38" s="10">
        <f t="shared" si="4"/>
        <v>94583695.593194991</v>
      </c>
      <c r="H38" s="10">
        <f t="shared" si="4"/>
        <v>13693035.272085864</v>
      </c>
      <c r="I38" s="10">
        <f t="shared" si="4"/>
        <v>21173328.563831821</v>
      </c>
      <c r="J38" s="10">
        <f t="shared" si="4"/>
        <v>3106370.9901699531</v>
      </c>
    </row>
    <row r="40" spans="3:10" x14ac:dyDescent="0.25">
      <c r="E40" s="11" t="s">
        <v>52</v>
      </c>
      <c r="F40" s="11" t="s">
        <v>53</v>
      </c>
      <c r="G40" s="11" t="s">
        <v>4</v>
      </c>
      <c r="H40" s="11" t="s">
        <v>7</v>
      </c>
      <c r="I40" s="11" t="s">
        <v>9</v>
      </c>
      <c r="J40" s="11" t="s">
        <v>63</v>
      </c>
    </row>
    <row r="41" spans="3:10" x14ac:dyDescent="0.25">
      <c r="D41" t="s">
        <v>50</v>
      </c>
      <c r="E41" s="9">
        <f>E13+E27</f>
        <v>487949545.10782194</v>
      </c>
      <c r="F41" s="9">
        <f t="shared" ref="F41:J41" si="5">F13+F27</f>
        <v>283706539.77379858</v>
      </c>
      <c r="G41" s="9">
        <f t="shared" si="5"/>
        <v>147306425.55955496</v>
      </c>
      <c r="H41" s="9">
        <f t="shared" si="5"/>
        <v>20836263.59207936</v>
      </c>
      <c r="I41" s="9">
        <f t="shared" si="5"/>
        <v>30528105.180619318</v>
      </c>
      <c r="J41" s="9">
        <f t="shared" si="5"/>
        <v>5572211.0017697001</v>
      </c>
    </row>
    <row r="42" spans="3:10" x14ac:dyDescent="0.25">
      <c r="C42" s="1" t="s">
        <v>72</v>
      </c>
      <c r="D42" t="s">
        <v>51</v>
      </c>
      <c r="E42" s="9">
        <f>E14+E28</f>
        <v>565888705.89530289</v>
      </c>
      <c r="F42" s="9">
        <f t="shared" ref="F42:J42" si="6">F14+F28</f>
        <v>331831734.67202854</v>
      </c>
      <c r="G42" s="9">
        <f t="shared" si="6"/>
        <v>169541372.84293517</v>
      </c>
      <c r="H42" s="9">
        <f t="shared" si="6"/>
        <v>23755764.798016217</v>
      </c>
      <c r="I42" s="9">
        <f t="shared" si="6"/>
        <v>34008137.568613499</v>
      </c>
      <c r="J42" s="9">
        <f t="shared" si="6"/>
        <v>6751696.0137094669</v>
      </c>
    </row>
  </sheetData>
  <mergeCells count="4">
    <mergeCell ref="D3:J3"/>
    <mergeCell ref="D17:J17"/>
    <mergeCell ref="D31:J31"/>
    <mergeCell ref="M2:R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F8E8D-48BE-4998-B348-32EC18488CE6}">
  <dimension ref="B3:V58"/>
  <sheetViews>
    <sheetView workbookViewId="0">
      <selection activeCell="L13" sqref="L13"/>
    </sheetView>
  </sheetViews>
  <sheetFormatPr defaultRowHeight="15" x14ac:dyDescent="0.25"/>
  <cols>
    <col min="2" max="2" width="15.140625" customWidth="1"/>
    <col min="3" max="3" width="13.28515625" customWidth="1"/>
    <col min="4" max="4" width="16.7109375" customWidth="1"/>
    <col min="5" max="5" width="12.5703125" customWidth="1"/>
    <col min="6" max="6" width="16.5703125" customWidth="1"/>
    <col min="7" max="7" width="25.28515625" customWidth="1"/>
    <col min="8" max="8" width="16.7109375" customWidth="1"/>
    <col min="9" max="9" width="13.140625" customWidth="1"/>
    <col min="10" max="10" width="14.5703125" customWidth="1"/>
    <col min="11" max="11" width="15.42578125" customWidth="1"/>
    <col min="12" max="12" width="14.28515625" bestFit="1" customWidth="1"/>
    <col min="13" max="14" width="17" customWidth="1"/>
    <col min="15" max="15" width="19.85546875" customWidth="1"/>
    <col min="16" max="16" width="22.5703125" customWidth="1"/>
    <col min="17" max="17" width="16" customWidth="1"/>
    <col min="18" max="18" width="16.28515625" customWidth="1"/>
    <col min="19" max="19" width="16.7109375" customWidth="1"/>
    <col min="20" max="20" width="21" customWidth="1"/>
    <col min="21" max="21" width="22.7109375" customWidth="1"/>
    <col min="22" max="22" width="16.85546875" customWidth="1"/>
  </cols>
  <sheetData>
    <row r="3" spans="2:22" x14ac:dyDescent="0.25">
      <c r="B3" s="83" t="s">
        <v>18</v>
      </c>
      <c r="C3" s="18" t="s">
        <v>55</v>
      </c>
      <c r="D3" s="19"/>
      <c r="E3" s="19"/>
      <c r="F3" s="19"/>
      <c r="G3" s="19"/>
      <c r="H3" s="19"/>
      <c r="I3" s="19"/>
      <c r="J3" s="19"/>
      <c r="K3" s="19"/>
      <c r="L3" s="21" t="s">
        <v>59</v>
      </c>
      <c r="M3" s="20"/>
      <c r="N3" s="20"/>
      <c r="O3" s="20"/>
      <c r="P3" s="22" t="s">
        <v>56</v>
      </c>
      <c r="Q3" s="23"/>
      <c r="R3" s="23"/>
      <c r="S3" s="23"/>
      <c r="T3" s="23"/>
      <c r="U3" s="23"/>
    </row>
    <row r="4" spans="2:22" ht="60" x14ac:dyDescent="0.25">
      <c r="B4" s="83"/>
      <c r="C4" s="2" t="s">
        <v>5</v>
      </c>
      <c r="D4" s="2" t="s">
        <v>0</v>
      </c>
      <c r="E4" s="2" t="s">
        <v>12</v>
      </c>
      <c r="F4" s="2" t="s">
        <v>10</v>
      </c>
      <c r="G4" s="2" t="s">
        <v>20</v>
      </c>
      <c r="H4" s="2" t="s">
        <v>21</v>
      </c>
      <c r="I4" s="2" t="s">
        <v>14</v>
      </c>
      <c r="J4" s="2" t="s">
        <v>15</v>
      </c>
      <c r="K4" s="2" t="s">
        <v>16</v>
      </c>
      <c r="L4" s="2" t="s">
        <v>19</v>
      </c>
      <c r="M4" s="2" t="s">
        <v>22</v>
      </c>
      <c r="N4" s="2" t="s">
        <v>60</v>
      </c>
      <c r="O4" s="25" t="s">
        <v>61</v>
      </c>
      <c r="P4" s="2" t="s">
        <v>44</v>
      </c>
      <c r="Q4" s="2" t="s">
        <v>45</v>
      </c>
      <c r="R4" s="2" t="s">
        <v>46</v>
      </c>
      <c r="S4" s="2" t="s">
        <v>47</v>
      </c>
      <c r="T4" s="2" t="s">
        <v>48</v>
      </c>
      <c r="U4" s="2" t="s">
        <v>49</v>
      </c>
      <c r="V4" s="2" t="s">
        <v>68</v>
      </c>
    </row>
    <row r="5" spans="2:22" x14ac:dyDescent="0.25">
      <c r="B5" s="83"/>
      <c r="C5" t="s">
        <v>1</v>
      </c>
      <c r="D5" t="s">
        <v>2</v>
      </c>
      <c r="E5">
        <v>237.5</v>
      </c>
      <c r="F5" s="4">
        <v>8.0500000000000002E-2</v>
      </c>
      <c r="G5" s="4">
        <v>29.3825</v>
      </c>
      <c r="H5" s="4">
        <v>2.415</v>
      </c>
      <c r="I5" s="55">
        <v>0</v>
      </c>
      <c r="J5" s="32">
        <v>0.22</v>
      </c>
      <c r="K5" s="32">
        <v>0.69</v>
      </c>
      <c r="L5" s="33">
        <f>G5*J5*1000</f>
        <v>6464.15</v>
      </c>
      <c r="M5" s="46">
        <f>L5/E5</f>
        <v>27.217473684210525</v>
      </c>
      <c r="N5" s="43">
        <f>G5*O5</f>
        <v>235.06</v>
      </c>
      <c r="O5" s="24">
        <v>8</v>
      </c>
      <c r="P5" s="7">
        <f>O5*L5</f>
        <v>51713.2</v>
      </c>
      <c r="Q5" s="47">
        <v>61163.53</v>
      </c>
      <c r="R5" s="7">
        <f>Q5*I$50/I$54</f>
        <v>69878.90326443626</v>
      </c>
      <c r="S5" s="8">
        <f>Q5*I$50/I$58</f>
        <v>69878.90326443626</v>
      </c>
      <c r="T5" s="7">
        <f>S5</f>
        <v>69878.90326443626</v>
      </c>
      <c r="U5" s="7">
        <f>S5</f>
        <v>69878.90326443626</v>
      </c>
      <c r="V5" s="10">
        <f>SUM(Q5:U5)</f>
        <v>340679.14305774507</v>
      </c>
    </row>
    <row r="6" spans="2:22" x14ac:dyDescent="0.25">
      <c r="B6" s="83"/>
      <c r="C6" t="s">
        <v>3</v>
      </c>
      <c r="D6" t="s">
        <v>4</v>
      </c>
      <c r="E6">
        <v>1414.5</v>
      </c>
      <c r="F6" s="4">
        <v>0.53650000000000009</v>
      </c>
      <c r="G6" s="4">
        <v>195.82250000000002</v>
      </c>
      <c r="H6" s="4">
        <v>16.095000000000002</v>
      </c>
      <c r="I6" s="55">
        <v>0</v>
      </c>
      <c r="J6" s="32">
        <v>0.23</v>
      </c>
      <c r="K6" s="32">
        <v>0.57999999999999996</v>
      </c>
      <c r="L6" s="33">
        <f t="shared" ref="L6:L9" si="0">G6*J6*1000</f>
        <v>45039.17500000001</v>
      </c>
      <c r="M6" s="46">
        <f t="shared" ref="M6:M8" si="1">L6/E6</f>
        <v>31.841056910569112</v>
      </c>
      <c r="N6" s="43">
        <f>G6*O6</f>
        <v>1174.9350000000002</v>
      </c>
      <c r="O6" s="24">
        <v>6</v>
      </c>
      <c r="P6" s="7">
        <f t="shared" ref="P6:P8" si="2">O6*L6</f>
        <v>270235.05000000005</v>
      </c>
      <c r="Q6" s="7">
        <f>Q$5/P$5*P6</f>
        <v>319619.16082792217</v>
      </c>
      <c r="R6" s="7">
        <f t="shared" ref="R6:R9" si="3">Q6*I$50/I$54</f>
        <v>365162.64546789025</v>
      </c>
      <c r="S6" s="8">
        <f t="shared" ref="S6:S9" si="4">Q6*I$50/I$58</f>
        <v>365162.64546789025</v>
      </c>
      <c r="T6" s="7">
        <f>S6</f>
        <v>365162.64546789025</v>
      </c>
      <c r="U6" s="7">
        <f>S6</f>
        <v>365162.64546789025</v>
      </c>
      <c r="V6" s="10">
        <f>SUM(Q6:U6)</f>
        <v>1780269.7426994829</v>
      </c>
    </row>
    <row r="7" spans="2:22" x14ac:dyDescent="0.25">
      <c r="B7" s="83"/>
      <c r="C7" t="s">
        <v>6</v>
      </c>
      <c r="D7" t="s">
        <v>7</v>
      </c>
      <c r="E7">
        <v>3349.5</v>
      </c>
      <c r="F7" s="4">
        <v>1.06</v>
      </c>
      <c r="G7" s="4">
        <v>386.90000000000003</v>
      </c>
      <c r="H7" s="4">
        <v>31.8</v>
      </c>
      <c r="I7" s="55">
        <v>0</v>
      </c>
      <c r="J7" s="32">
        <v>0.91</v>
      </c>
      <c r="K7" s="32">
        <v>1.35</v>
      </c>
      <c r="L7" s="33">
        <f t="shared" si="0"/>
        <v>352079.00000000006</v>
      </c>
      <c r="M7" s="46">
        <f t="shared" si="1"/>
        <v>105.11389759665623</v>
      </c>
      <c r="N7" s="43">
        <f t="shared" ref="N7:N9" si="5">G7*O7</f>
        <v>386.90000000000003</v>
      </c>
      <c r="O7" s="24">
        <v>1</v>
      </c>
      <c r="P7" s="7">
        <f t="shared" si="2"/>
        <v>352079.00000000006</v>
      </c>
      <c r="Q7" s="7">
        <f>Q$5/P$5*P7</f>
        <v>416419.68547430838</v>
      </c>
      <c r="R7" s="7">
        <f t="shared" si="3"/>
        <v>475756.56471538136</v>
      </c>
      <c r="S7" s="8">
        <f t="shared" si="4"/>
        <v>475756.56471538136</v>
      </c>
      <c r="T7" s="7">
        <f>S7</f>
        <v>475756.56471538136</v>
      </c>
      <c r="U7" s="8">
        <f>S7</f>
        <v>475756.56471538136</v>
      </c>
      <c r="V7" s="10">
        <f t="shared" ref="V7:V9" si="6">SUM(Q7:U7)</f>
        <v>2319445.9443358337</v>
      </c>
    </row>
    <row r="8" spans="2:22" x14ac:dyDescent="0.25">
      <c r="B8" s="83"/>
      <c r="C8" t="s">
        <v>8</v>
      </c>
      <c r="D8" t="s">
        <v>9</v>
      </c>
      <c r="E8">
        <v>44999.5</v>
      </c>
      <c r="F8" s="4">
        <v>13.62</v>
      </c>
      <c r="G8" s="4">
        <v>4971.2999999999993</v>
      </c>
      <c r="H8" s="4">
        <v>408.59999999999997</v>
      </c>
      <c r="I8" s="55">
        <v>0</v>
      </c>
      <c r="J8" s="41">
        <v>0.4</v>
      </c>
      <c r="K8" s="41">
        <v>0.73</v>
      </c>
      <c r="L8" s="33">
        <f t="shared" si="0"/>
        <v>1988519.9999999998</v>
      </c>
      <c r="M8" s="46">
        <f t="shared" si="1"/>
        <v>44.189824331381452</v>
      </c>
      <c r="N8" s="43">
        <f t="shared" si="5"/>
        <v>9942.5999999999985</v>
      </c>
      <c r="O8" s="24">
        <v>2</v>
      </c>
      <c r="P8" s="7">
        <f t="shared" si="2"/>
        <v>3977039.9999999995</v>
      </c>
      <c r="Q8" s="7">
        <f t="shared" ref="Q8" si="7">Q$5/P$5*P8</f>
        <v>4703824.27216262</v>
      </c>
      <c r="R8" s="7">
        <f t="shared" si="3"/>
        <v>5374086.1799075212</v>
      </c>
      <c r="S8" s="8">
        <f t="shared" si="4"/>
        <v>5374086.1799075212</v>
      </c>
      <c r="T8" s="7">
        <f>S8</f>
        <v>5374086.1799075212</v>
      </c>
      <c r="U8" s="7">
        <f>S8</f>
        <v>5374086.1799075212</v>
      </c>
      <c r="V8" s="10">
        <f t="shared" si="6"/>
        <v>26200168.991792709</v>
      </c>
    </row>
    <row r="9" spans="2:22" x14ac:dyDescent="0.25">
      <c r="B9" s="83"/>
      <c r="C9" t="s">
        <v>62</v>
      </c>
      <c r="D9" t="s">
        <v>63</v>
      </c>
      <c r="E9">
        <f>(250000-100001)/2</f>
        <v>74999.5</v>
      </c>
      <c r="F9" s="4">
        <v>13.62</v>
      </c>
      <c r="G9" s="4">
        <v>4971.2999999999993</v>
      </c>
      <c r="H9" s="4">
        <v>408.59999999999997</v>
      </c>
      <c r="I9" s="55">
        <v>0</v>
      </c>
      <c r="J9" s="41">
        <v>0.4</v>
      </c>
      <c r="K9" s="41">
        <v>0.73</v>
      </c>
      <c r="L9" s="33">
        <f t="shared" si="0"/>
        <v>1988519.9999999998</v>
      </c>
      <c r="M9" s="46">
        <v>81</v>
      </c>
      <c r="N9" s="43">
        <f t="shared" si="5"/>
        <v>0</v>
      </c>
      <c r="O9" s="24">
        <v>0</v>
      </c>
      <c r="P9" s="7">
        <f>O9*L9</f>
        <v>0</v>
      </c>
      <c r="Q9" s="7">
        <f>Q$5/P$5*P9</f>
        <v>0</v>
      </c>
      <c r="R9" s="7">
        <f t="shared" si="3"/>
        <v>0</v>
      </c>
      <c r="S9" s="8">
        <f t="shared" si="4"/>
        <v>0</v>
      </c>
      <c r="T9" s="7">
        <f>S9</f>
        <v>0</v>
      </c>
      <c r="U9" s="7">
        <f>S9</f>
        <v>0</v>
      </c>
      <c r="V9" s="10">
        <f t="shared" si="6"/>
        <v>0</v>
      </c>
    </row>
    <row r="10" spans="2:22" x14ac:dyDescent="0.25">
      <c r="B10" s="83"/>
      <c r="M10" s="1" t="s">
        <v>52</v>
      </c>
      <c r="N10" s="44">
        <f>SUM(N5:N8)</f>
        <v>11739.494999999999</v>
      </c>
      <c r="O10">
        <f>SUM(O5:O9)</f>
        <v>17</v>
      </c>
      <c r="P10" s="8">
        <f>SUM(P5:P9)</f>
        <v>4651067.25</v>
      </c>
      <c r="Q10" s="8">
        <f t="shared" ref="Q10:U10" si="8">SUM(Q5:Q9)</f>
        <v>5501026.6484648511</v>
      </c>
      <c r="R10" s="8">
        <f t="shared" si="8"/>
        <v>6284884.2933552293</v>
      </c>
      <c r="S10" s="8">
        <f t="shared" si="8"/>
        <v>6284884.2933552293</v>
      </c>
      <c r="T10" s="8">
        <f t="shared" si="8"/>
        <v>6284884.2933552293</v>
      </c>
      <c r="U10" s="8">
        <f t="shared" si="8"/>
        <v>6284884.2933552293</v>
      </c>
      <c r="V10" s="10">
        <f>SUM(Q10:U10)</f>
        <v>30640563.821885772</v>
      </c>
    </row>
    <row r="11" spans="2:22" x14ac:dyDescent="0.25">
      <c r="B11" s="83"/>
      <c r="Q11">
        <v>2020</v>
      </c>
      <c r="R11">
        <v>2021</v>
      </c>
      <c r="S11">
        <v>2022</v>
      </c>
      <c r="T11">
        <v>2023</v>
      </c>
      <c r="U11">
        <v>2024</v>
      </c>
    </row>
    <row r="12" spans="2:22" x14ac:dyDescent="0.25">
      <c r="B12" s="83"/>
    </row>
    <row r="13" spans="2:22" x14ac:dyDescent="0.25">
      <c r="B13" s="83"/>
      <c r="P13" s="1" t="s">
        <v>52</v>
      </c>
      <c r="Q13" s="6" t="s">
        <v>53</v>
      </c>
      <c r="R13" s="6" t="s">
        <v>4</v>
      </c>
      <c r="S13" s="6" t="s">
        <v>7</v>
      </c>
      <c r="T13" s="6" t="s">
        <v>9</v>
      </c>
      <c r="U13" s="6" t="s">
        <v>63</v>
      </c>
      <c r="V13" s="6" t="s">
        <v>52</v>
      </c>
    </row>
    <row r="14" spans="2:22" x14ac:dyDescent="0.25">
      <c r="B14" s="83"/>
      <c r="O14" s="1" t="s">
        <v>50</v>
      </c>
      <c r="P14" s="12">
        <f>Q10*5</f>
        <v>27505133.242324255</v>
      </c>
      <c r="Q14" s="10">
        <f>P14*(O5/O$10)</f>
        <v>12943592.114034943</v>
      </c>
      <c r="R14" s="10">
        <f>P14*(O6/O$10)</f>
        <v>9707694.0855262093</v>
      </c>
      <c r="S14" s="10">
        <f>O7/O$10*P14</f>
        <v>1617949.0142543679</v>
      </c>
      <c r="T14" s="10">
        <f>P14*(O$8/O$10)</f>
        <v>3235898.0285087358</v>
      </c>
      <c r="U14" s="10">
        <f>P14*O9/O10</f>
        <v>0</v>
      </c>
      <c r="V14" s="10">
        <f>SUM(Q14:U14)</f>
        <v>27505133.242324255</v>
      </c>
    </row>
    <row r="15" spans="2:22" x14ac:dyDescent="0.25">
      <c r="B15" s="83"/>
      <c r="O15" s="1" t="s">
        <v>51</v>
      </c>
      <c r="P15" s="12">
        <f>SUM(Q10:U10)</f>
        <v>30640563.821885772</v>
      </c>
      <c r="Q15" s="53">
        <f>P15*(O5/O$10)</f>
        <v>14419088.85735801</v>
      </c>
      <c r="R15" s="10">
        <f>P15*(O6/O$10)</f>
        <v>10814316.643018508</v>
      </c>
      <c r="S15" s="10">
        <f>P15*O7/O$10</f>
        <v>1802386.1071697513</v>
      </c>
      <c r="T15" s="10">
        <f>P15*(O$8/O$10)</f>
        <v>3604772.2143395026</v>
      </c>
      <c r="U15" s="10">
        <f>P15*O9/O10</f>
        <v>0</v>
      </c>
      <c r="V15" s="10">
        <f>SUM(Q15:U15)</f>
        <v>30640563.821885772</v>
      </c>
    </row>
    <row r="16" spans="2:22" x14ac:dyDescent="0.25">
      <c r="B16" s="83"/>
    </row>
    <row r="17" spans="2:22" x14ac:dyDescent="0.25">
      <c r="B17" s="83"/>
      <c r="C17" s="18" t="s">
        <v>55</v>
      </c>
      <c r="D17" s="19"/>
      <c r="E17" s="19"/>
      <c r="F17" s="19"/>
      <c r="G17" s="19"/>
      <c r="H17" s="19"/>
      <c r="I17" s="19"/>
      <c r="J17" s="19"/>
      <c r="K17" s="19"/>
      <c r="L17" s="21" t="s">
        <v>59</v>
      </c>
      <c r="M17" s="20"/>
      <c r="N17" s="20"/>
      <c r="O17" s="20"/>
      <c r="P17" s="17" t="s">
        <v>57</v>
      </c>
      <c r="Q17" s="14"/>
      <c r="R17" s="14"/>
      <c r="S17" s="14"/>
      <c r="T17" s="14"/>
      <c r="U17" s="14"/>
    </row>
    <row r="18" spans="2:22" ht="60" x14ac:dyDescent="0.25">
      <c r="B18" s="83"/>
      <c r="C18" s="2" t="s">
        <v>5</v>
      </c>
      <c r="D18" s="2" t="s">
        <v>0</v>
      </c>
      <c r="E18" s="2" t="s">
        <v>12</v>
      </c>
      <c r="F18" s="2" t="s">
        <v>10</v>
      </c>
      <c r="G18" s="2" t="s">
        <v>20</v>
      </c>
      <c r="H18" s="2" t="s">
        <v>21</v>
      </c>
      <c r="I18" s="2" t="s">
        <v>14</v>
      </c>
      <c r="J18" s="2" t="s">
        <v>15</v>
      </c>
      <c r="K18" s="2" t="s">
        <v>16</v>
      </c>
      <c r="L18" s="2" t="s">
        <v>19</v>
      </c>
      <c r="M18" s="2" t="s">
        <v>22</v>
      </c>
      <c r="N18" s="2" t="s">
        <v>60</v>
      </c>
      <c r="O18" s="25" t="s">
        <v>61</v>
      </c>
      <c r="P18" s="2" t="s">
        <v>44</v>
      </c>
      <c r="Q18" s="2" t="s">
        <v>45</v>
      </c>
      <c r="R18" s="2" t="s">
        <v>46</v>
      </c>
      <c r="S18" s="2" t="s">
        <v>47</v>
      </c>
      <c r="T18" s="2" t="s">
        <v>48</v>
      </c>
      <c r="U18" s="2" t="s">
        <v>49</v>
      </c>
      <c r="V18" s="2" t="s">
        <v>68</v>
      </c>
    </row>
    <row r="19" spans="2:22" x14ac:dyDescent="0.25">
      <c r="B19" s="83"/>
      <c r="C19" t="s">
        <v>1</v>
      </c>
      <c r="D19" t="s">
        <v>2</v>
      </c>
      <c r="E19">
        <v>237.5</v>
      </c>
      <c r="F19" s="4">
        <v>8.0500000000000002E-2</v>
      </c>
      <c r="G19" s="4">
        <v>29.3825</v>
      </c>
      <c r="H19" s="4">
        <v>2.415</v>
      </c>
      <c r="I19" s="55">
        <v>0</v>
      </c>
      <c r="J19" s="41">
        <v>4.22</v>
      </c>
      <c r="K19" s="41">
        <v>6.64</v>
      </c>
      <c r="L19" s="33">
        <f>G19*J19*1000</f>
        <v>123994.15</v>
      </c>
      <c r="M19" s="9">
        <f>L19/E19</f>
        <v>522.0806315789473</v>
      </c>
      <c r="N19" s="42">
        <f>G19*O19</f>
        <v>235.06</v>
      </c>
      <c r="O19" s="24">
        <v>8</v>
      </c>
      <c r="P19" s="7">
        <f>O19*L19</f>
        <v>991953.2</v>
      </c>
      <c r="Q19" s="7">
        <f>P19*(Q$5/P$5)</f>
        <v>1173227.7118181819</v>
      </c>
      <c r="R19" s="7">
        <f>Q19*I$50/I$54</f>
        <v>1340404.4171632773</v>
      </c>
      <c r="S19" s="7">
        <f>Q19*I$50/I$54</f>
        <v>1340404.4171632773</v>
      </c>
      <c r="T19" s="7">
        <f>S19</f>
        <v>1340404.4171632773</v>
      </c>
      <c r="U19" s="7">
        <f>S19</f>
        <v>1340404.4171632773</v>
      </c>
      <c r="V19" s="10">
        <f>SUM(Q19:U19)</f>
        <v>6534845.3804712901</v>
      </c>
    </row>
    <row r="20" spans="2:22" x14ac:dyDescent="0.25">
      <c r="B20" s="83"/>
      <c r="C20" t="s">
        <v>3</v>
      </c>
      <c r="D20" t="s">
        <v>4</v>
      </c>
      <c r="E20">
        <v>1414.5</v>
      </c>
      <c r="F20" s="4">
        <v>0.53650000000000009</v>
      </c>
      <c r="G20" s="4">
        <v>195.82250000000002</v>
      </c>
      <c r="H20" s="4">
        <v>16.095000000000002</v>
      </c>
      <c r="I20" s="55">
        <v>0</v>
      </c>
      <c r="J20" s="41">
        <v>0.56999999999999995</v>
      </c>
      <c r="K20" s="41">
        <v>0.93</v>
      </c>
      <c r="L20" s="33">
        <f t="shared" ref="L20:L23" si="9">G20*J20*1000</f>
        <v>111618.825</v>
      </c>
      <c r="M20" s="9">
        <f t="shared" ref="M20:M21" si="10">L20/E20</f>
        <v>78.910445387062566</v>
      </c>
      <c r="N20" s="42">
        <f>G20*O20</f>
        <v>1174.9350000000002</v>
      </c>
      <c r="O20" s="24">
        <v>6</v>
      </c>
      <c r="P20" s="7">
        <f t="shared" ref="P20:P23" si="11">O20*L20</f>
        <v>669712.94999999995</v>
      </c>
      <c r="Q20" s="7">
        <f t="shared" ref="Q20:Q23" si="12">P20*(Q$5/P$5)</f>
        <v>792099.65944311128</v>
      </c>
      <c r="R20" s="7">
        <f t="shared" ref="R20:R23" si="13">Q20*I$50/I$54</f>
        <v>904968.29528998863</v>
      </c>
      <c r="S20" s="7">
        <f t="shared" ref="S20:S23" si="14">Q20*I$50/I$54</f>
        <v>904968.29528998863</v>
      </c>
      <c r="T20" s="48">
        <f>S20</f>
        <v>904968.29528998863</v>
      </c>
      <c r="U20" s="7">
        <f>T20</f>
        <v>904968.29528998863</v>
      </c>
      <c r="V20" s="10">
        <f>SUM(Q20:U20)</f>
        <v>4411972.8406030657</v>
      </c>
    </row>
    <row r="21" spans="2:22" x14ac:dyDescent="0.25">
      <c r="B21" s="83"/>
      <c r="C21" t="s">
        <v>6</v>
      </c>
      <c r="D21" t="s">
        <v>7</v>
      </c>
      <c r="E21">
        <v>3349.5</v>
      </c>
      <c r="F21" s="4">
        <v>1.06</v>
      </c>
      <c r="G21" s="4">
        <v>386.90000000000003</v>
      </c>
      <c r="H21" s="4">
        <v>31.8</v>
      </c>
      <c r="I21" s="55">
        <v>0</v>
      </c>
      <c r="J21" s="41">
        <v>1.89</v>
      </c>
      <c r="K21" s="41">
        <v>2.59</v>
      </c>
      <c r="L21" s="33">
        <f t="shared" si="9"/>
        <v>731241</v>
      </c>
      <c r="M21" s="9">
        <f t="shared" si="10"/>
        <v>218.31347962382446</v>
      </c>
      <c r="N21" s="42">
        <f>G21*O21</f>
        <v>386.90000000000003</v>
      </c>
      <c r="O21" s="24">
        <v>1</v>
      </c>
      <c r="P21" s="7">
        <f t="shared" si="11"/>
        <v>731241</v>
      </c>
      <c r="Q21" s="7">
        <f t="shared" si="12"/>
        <v>864871.6544466404</v>
      </c>
      <c r="R21" s="7">
        <f t="shared" si="13"/>
        <v>988109.78825502272</v>
      </c>
      <c r="S21" s="7">
        <f t="shared" si="14"/>
        <v>988109.78825502272</v>
      </c>
      <c r="T21" s="8">
        <f>S21</f>
        <v>988109.78825502272</v>
      </c>
      <c r="U21" s="8">
        <f>T21</f>
        <v>988109.78825502272</v>
      </c>
      <c r="V21" s="10">
        <f t="shared" ref="V21:V23" si="15">SUM(Q21:U21)</f>
        <v>4817310.8074667314</v>
      </c>
    </row>
    <row r="22" spans="2:22" x14ac:dyDescent="0.25">
      <c r="B22" s="83"/>
      <c r="C22" t="s">
        <v>8</v>
      </c>
      <c r="D22" t="s">
        <v>9</v>
      </c>
      <c r="E22">
        <v>44999.5</v>
      </c>
      <c r="F22" s="4">
        <v>13.62</v>
      </c>
      <c r="G22" s="4">
        <v>4971.2999999999993</v>
      </c>
      <c r="H22" s="4">
        <v>408.59999999999997</v>
      </c>
      <c r="I22" s="55">
        <v>0</v>
      </c>
      <c r="J22" s="41">
        <v>1.48</v>
      </c>
      <c r="K22" s="41">
        <v>2.38</v>
      </c>
      <c r="L22" s="33">
        <f t="shared" si="9"/>
        <v>7357523.9999999981</v>
      </c>
      <c r="M22" s="9">
        <f>L22/E22</f>
        <v>163.50235002611137</v>
      </c>
      <c r="N22" s="42">
        <f>G22*O22</f>
        <v>9942.5999999999985</v>
      </c>
      <c r="O22" s="24">
        <v>2</v>
      </c>
      <c r="P22" s="7">
        <f t="shared" si="11"/>
        <v>14715047.999999996</v>
      </c>
      <c r="Q22" s="7">
        <f t="shared" si="12"/>
        <v>17404149.807001691</v>
      </c>
      <c r="R22" s="7">
        <f t="shared" si="13"/>
        <v>19884118.865657821</v>
      </c>
      <c r="S22" s="7">
        <f t="shared" si="14"/>
        <v>19884118.865657821</v>
      </c>
      <c r="T22" s="7">
        <f>S22</f>
        <v>19884118.865657821</v>
      </c>
      <c r="U22" s="7">
        <f>S22</f>
        <v>19884118.865657821</v>
      </c>
      <c r="V22" s="10">
        <f t="shared" si="15"/>
        <v>96940625.26963298</v>
      </c>
    </row>
    <row r="23" spans="2:22" x14ac:dyDescent="0.25">
      <c r="B23" s="83"/>
      <c r="C23" t="s">
        <v>62</v>
      </c>
      <c r="D23" t="s">
        <v>63</v>
      </c>
      <c r="E23">
        <f>(250000-100001)/2</f>
        <v>74999.5</v>
      </c>
      <c r="F23" s="4">
        <v>13.62</v>
      </c>
      <c r="G23" s="4">
        <v>4971.2999999999993</v>
      </c>
      <c r="H23" s="4">
        <v>408.59999999999997</v>
      </c>
      <c r="I23" s="55">
        <v>0</v>
      </c>
      <c r="J23" s="41">
        <v>1.48</v>
      </c>
      <c r="K23" s="41">
        <v>2.38</v>
      </c>
      <c r="L23" s="33">
        <f t="shared" si="9"/>
        <v>7357523.9999999981</v>
      </c>
      <c r="M23" s="9">
        <f>M22</f>
        <v>163.50235002611137</v>
      </c>
      <c r="N23" s="42">
        <f>G23*O23</f>
        <v>0</v>
      </c>
      <c r="O23" s="24">
        <v>0</v>
      </c>
      <c r="P23" s="7">
        <f t="shared" si="11"/>
        <v>0</v>
      </c>
      <c r="Q23" s="7">
        <f t="shared" si="12"/>
        <v>0</v>
      </c>
      <c r="R23" s="7">
        <f t="shared" si="13"/>
        <v>0</v>
      </c>
      <c r="S23" s="7">
        <f t="shared" si="14"/>
        <v>0</v>
      </c>
      <c r="T23" s="7">
        <f>S23</f>
        <v>0</v>
      </c>
      <c r="U23" s="7">
        <f>S23</f>
        <v>0</v>
      </c>
      <c r="V23" s="10">
        <f t="shared" si="15"/>
        <v>0</v>
      </c>
    </row>
    <row r="24" spans="2:22" x14ac:dyDescent="0.25">
      <c r="B24" s="83"/>
      <c r="M24" s="1" t="s">
        <v>52</v>
      </c>
      <c r="N24" s="45">
        <f>SUM(N19:N22)</f>
        <v>11739.494999999999</v>
      </c>
      <c r="O24">
        <f>SUM(O19:O23)</f>
        <v>17</v>
      </c>
      <c r="P24" s="8">
        <f>SUM(P19:P23)</f>
        <v>17107955.149999995</v>
      </c>
      <c r="Q24" s="8">
        <f t="shared" ref="Q24:U24" si="16">SUM(Q19:Q23)</f>
        <v>20234348.832709625</v>
      </c>
      <c r="R24" s="8">
        <f t="shared" si="16"/>
        <v>23117601.366366111</v>
      </c>
      <c r="S24" s="8">
        <f>SUM(S19:S23)</f>
        <v>23117601.366366111</v>
      </c>
      <c r="T24" s="8">
        <f t="shared" si="16"/>
        <v>23117601.366366111</v>
      </c>
      <c r="U24" s="8">
        <f t="shared" si="16"/>
        <v>23117601.366366111</v>
      </c>
      <c r="V24" s="10">
        <f>SUM(Q24:U24)</f>
        <v>112704754.29817408</v>
      </c>
    </row>
    <row r="25" spans="2:22" x14ac:dyDescent="0.25">
      <c r="B25" s="83"/>
      <c r="Q25">
        <v>2020</v>
      </c>
      <c r="R25">
        <v>2021</v>
      </c>
      <c r="S25">
        <v>2022</v>
      </c>
      <c r="T25">
        <v>2023</v>
      </c>
      <c r="U25">
        <v>2024</v>
      </c>
    </row>
    <row r="26" spans="2:22" x14ac:dyDescent="0.25">
      <c r="B26" s="83"/>
    </row>
    <row r="27" spans="2:22" x14ac:dyDescent="0.25">
      <c r="B27" s="83"/>
      <c r="P27" s="1" t="s">
        <v>52</v>
      </c>
      <c r="Q27" s="6" t="s">
        <v>53</v>
      </c>
      <c r="R27" s="6" t="s">
        <v>4</v>
      </c>
      <c r="S27" s="6" t="s">
        <v>7</v>
      </c>
      <c r="T27" s="6" t="s">
        <v>9</v>
      </c>
      <c r="U27" s="6" t="s">
        <v>63</v>
      </c>
      <c r="V27" s="6" t="s">
        <v>52</v>
      </c>
    </row>
    <row r="28" spans="2:22" x14ac:dyDescent="0.25">
      <c r="B28" s="83"/>
      <c r="O28" s="1" t="s">
        <v>50</v>
      </c>
      <c r="P28" s="27">
        <f>Q24*5</f>
        <v>101171744.16354813</v>
      </c>
      <c r="Q28" s="9">
        <f>P28*(O19/O$10)</f>
        <v>47610232.547552057</v>
      </c>
      <c r="R28" s="9">
        <f>P28*(O20/O$10)</f>
        <v>35707674.410664044</v>
      </c>
      <c r="S28" s="9">
        <f>O21/O$10*P28</f>
        <v>5951279.0684440071</v>
      </c>
      <c r="T28" s="9">
        <f>P28*(O22/O$10)</f>
        <v>11902558.136888014</v>
      </c>
      <c r="U28" s="10">
        <f>P28*O23/O24</f>
        <v>0</v>
      </c>
      <c r="V28" s="10">
        <f>SUM(Q28:U28)</f>
        <v>101171744.16354813</v>
      </c>
    </row>
    <row r="29" spans="2:22" x14ac:dyDescent="0.25">
      <c r="B29" s="83"/>
      <c r="O29" s="1" t="s">
        <v>51</v>
      </c>
      <c r="P29" s="27">
        <f>SUM(Q24:U24)</f>
        <v>112704754.29817408</v>
      </c>
      <c r="Q29" s="9">
        <f>P29*(O19/O$10)</f>
        <v>53037531.434434861</v>
      </c>
      <c r="R29" s="9">
        <f>P29*(O20/O$10)</f>
        <v>39778148.575826153</v>
      </c>
      <c r="S29" s="9">
        <f>P29*O21/O$10</f>
        <v>6629691.4293043576</v>
      </c>
      <c r="T29" s="9">
        <f>P29*(O22/O$24)</f>
        <v>13259382.858608715</v>
      </c>
      <c r="U29" s="10">
        <f>P29*O23/O24</f>
        <v>0</v>
      </c>
      <c r="V29" s="10">
        <f>SUM(Q29:U29)</f>
        <v>112704754.29817408</v>
      </c>
    </row>
    <row r="30" spans="2:22" x14ac:dyDescent="0.25">
      <c r="B30" s="83"/>
      <c r="P30" s="1"/>
      <c r="Q30" s="12"/>
      <c r="R30" s="13"/>
      <c r="S30" s="8"/>
      <c r="U30" s="8"/>
    </row>
    <row r="31" spans="2:22" x14ac:dyDescent="0.25">
      <c r="B31" s="83"/>
      <c r="C31" s="18" t="s">
        <v>55</v>
      </c>
      <c r="D31" s="19"/>
      <c r="E31" s="19"/>
      <c r="F31" s="19"/>
      <c r="G31" s="19"/>
      <c r="H31" s="19"/>
      <c r="I31" s="19"/>
      <c r="J31" s="19"/>
      <c r="K31" s="19"/>
      <c r="L31" s="21" t="s">
        <v>59</v>
      </c>
      <c r="M31" s="20"/>
      <c r="N31" s="20"/>
      <c r="O31" s="20"/>
      <c r="P31" s="16" t="s">
        <v>58</v>
      </c>
      <c r="Q31" s="15"/>
      <c r="R31" s="15"/>
      <c r="S31" s="15"/>
      <c r="T31" s="15"/>
      <c r="U31" s="15"/>
    </row>
    <row r="32" spans="2:22" ht="60" x14ac:dyDescent="0.25">
      <c r="B32" s="83"/>
      <c r="C32" s="2" t="s">
        <v>5</v>
      </c>
      <c r="D32" s="2" t="s">
        <v>0</v>
      </c>
      <c r="E32" s="2" t="s">
        <v>12</v>
      </c>
      <c r="F32" s="2" t="s">
        <v>10</v>
      </c>
      <c r="G32" s="2" t="s">
        <v>20</v>
      </c>
      <c r="H32" s="2" t="s">
        <v>21</v>
      </c>
      <c r="I32" s="2" t="s">
        <v>14</v>
      </c>
      <c r="J32" s="2" t="s">
        <v>15</v>
      </c>
      <c r="K32" s="2" t="s">
        <v>16</v>
      </c>
      <c r="L32" s="2" t="s">
        <v>19</v>
      </c>
      <c r="M32" s="2" t="s">
        <v>22</v>
      </c>
      <c r="N32" s="2" t="s">
        <v>60</v>
      </c>
      <c r="O32" s="2" t="s">
        <v>61</v>
      </c>
      <c r="P32" s="2" t="s">
        <v>44</v>
      </c>
      <c r="Q32" s="2" t="s">
        <v>45</v>
      </c>
      <c r="R32" s="2" t="s">
        <v>46</v>
      </c>
      <c r="S32" s="2" t="s">
        <v>47</v>
      </c>
      <c r="T32" s="2" t="s">
        <v>48</v>
      </c>
      <c r="U32" s="2" t="s">
        <v>49</v>
      </c>
      <c r="V32" s="2" t="s">
        <v>68</v>
      </c>
    </row>
    <row r="33" spans="2:22" x14ac:dyDescent="0.25">
      <c r="B33" s="83"/>
      <c r="C33" t="s">
        <v>1</v>
      </c>
      <c r="D33" t="s">
        <v>2</v>
      </c>
      <c r="E33">
        <v>237.5</v>
      </c>
      <c r="F33" s="4">
        <v>8.0500000000000002E-2</v>
      </c>
      <c r="G33" s="4">
        <v>29.3825</v>
      </c>
      <c r="H33" s="4">
        <v>2.415</v>
      </c>
      <c r="I33" s="55">
        <v>0</v>
      </c>
      <c r="J33" s="41">
        <v>16.16</v>
      </c>
      <c r="K33" s="41">
        <v>19.16</v>
      </c>
      <c r="L33" s="33">
        <f>G33*J33*1000</f>
        <v>474821.2</v>
      </c>
      <c r="M33" s="33">
        <f>L33/E33</f>
        <v>1999.2471578947368</v>
      </c>
      <c r="N33" s="42">
        <f>G33*O33</f>
        <v>235.06</v>
      </c>
      <c r="O33" s="24">
        <v>8</v>
      </c>
      <c r="P33" s="9">
        <f>O33*L33</f>
        <v>3798569.6</v>
      </c>
      <c r="Q33" s="9">
        <f>P33*(Q5/P5)</f>
        <v>4492739.2945454549</v>
      </c>
      <c r="R33" s="9">
        <f>Q33*I$50/I$54</f>
        <v>5132923.0761513179</v>
      </c>
      <c r="S33" s="10">
        <f>Q33*I$50/I$58</f>
        <v>5132923.0761513179</v>
      </c>
      <c r="T33" s="9">
        <f>S33</f>
        <v>5132923.0761513179</v>
      </c>
      <c r="U33" s="9">
        <f>S33</f>
        <v>5132923.0761513179</v>
      </c>
      <c r="V33" s="10">
        <f>SUM(Q33:U33)</f>
        <v>25024431.599150728</v>
      </c>
    </row>
    <row r="34" spans="2:22" x14ac:dyDescent="0.25">
      <c r="B34" s="83"/>
      <c r="C34" t="s">
        <v>3</v>
      </c>
      <c r="D34" t="s">
        <v>4</v>
      </c>
      <c r="E34">
        <v>1414.5</v>
      </c>
      <c r="F34" s="4">
        <v>0.53650000000000009</v>
      </c>
      <c r="G34" s="4">
        <v>195.82250000000002</v>
      </c>
      <c r="H34" s="4">
        <v>16.095000000000002</v>
      </c>
      <c r="I34" s="55">
        <v>0</v>
      </c>
      <c r="J34" s="41">
        <v>1.1499999999999999</v>
      </c>
      <c r="K34" s="41">
        <v>1.34</v>
      </c>
      <c r="L34" s="33">
        <f t="shared" ref="L34:L37" si="17">G34*J34*1000</f>
        <v>225195.875</v>
      </c>
      <c r="M34" s="33">
        <f t="shared" ref="M34:M36" si="18">L34/E34</f>
        <v>159.20528455284554</v>
      </c>
      <c r="N34" s="42">
        <f>G34*O34</f>
        <v>1174.9350000000002</v>
      </c>
      <c r="O34" s="24">
        <v>6</v>
      </c>
      <c r="P34" s="9">
        <f>O34*L34</f>
        <v>1351175.25</v>
      </c>
      <c r="Q34" s="9">
        <f>Q$5/P$5*P34</f>
        <v>1598095.8041396104</v>
      </c>
      <c r="R34" s="9">
        <f t="shared" ref="R34:R37" si="19">Q34*I$50/I$54</f>
        <v>1825813.2273394507</v>
      </c>
      <c r="S34" s="10">
        <f t="shared" ref="S34:S37" si="20">Q34*I$50/I$58</f>
        <v>1825813.2273394507</v>
      </c>
      <c r="T34" s="9">
        <f>S34</f>
        <v>1825813.2273394507</v>
      </c>
      <c r="U34" s="9">
        <f>T34</f>
        <v>1825813.2273394507</v>
      </c>
      <c r="V34" s="10">
        <f t="shared" ref="V34:V38" si="21">SUM(Q34:U34)</f>
        <v>8901348.7134974133</v>
      </c>
    </row>
    <row r="35" spans="2:22" x14ac:dyDescent="0.25">
      <c r="B35" s="83"/>
      <c r="C35" t="s">
        <v>6</v>
      </c>
      <c r="D35" t="s">
        <v>7</v>
      </c>
      <c r="E35">
        <v>3349.5</v>
      </c>
      <c r="F35" s="4">
        <v>1.06</v>
      </c>
      <c r="G35" s="4">
        <v>386.90000000000003</v>
      </c>
      <c r="H35" s="4">
        <v>31.8</v>
      </c>
      <c r="I35" s="55">
        <v>0</v>
      </c>
      <c r="J35" s="41">
        <v>2.76</v>
      </c>
      <c r="K35" s="41">
        <v>3.39</v>
      </c>
      <c r="L35" s="33">
        <f t="shared" si="17"/>
        <v>1067844</v>
      </c>
      <c r="M35" s="33">
        <f t="shared" si="18"/>
        <v>318.80698611733095</v>
      </c>
      <c r="N35" s="42">
        <f>G35*O35</f>
        <v>386.90000000000003</v>
      </c>
      <c r="O35" s="24">
        <v>1</v>
      </c>
      <c r="P35" s="9">
        <f>O35*L35</f>
        <v>1067844</v>
      </c>
      <c r="Q35" s="9">
        <f t="shared" ref="Q35" si="22">Q$5/P$5*P35</f>
        <v>1262987.1779220779</v>
      </c>
      <c r="R35" s="9">
        <f t="shared" si="19"/>
        <v>1442953.976499398</v>
      </c>
      <c r="S35" s="10">
        <f t="shared" si="20"/>
        <v>1442953.976499398</v>
      </c>
      <c r="T35" s="9">
        <f>S35</f>
        <v>1442953.976499398</v>
      </c>
      <c r="U35" s="9">
        <f>S35</f>
        <v>1442953.976499398</v>
      </c>
      <c r="V35" s="10">
        <f t="shared" si="21"/>
        <v>7034803.0839196704</v>
      </c>
    </row>
    <row r="36" spans="2:22" x14ac:dyDescent="0.25">
      <c r="B36" s="83"/>
      <c r="C36" t="s">
        <v>8</v>
      </c>
      <c r="D36" t="s">
        <v>9</v>
      </c>
      <c r="E36">
        <v>44999.5</v>
      </c>
      <c r="F36" s="4">
        <v>13.62</v>
      </c>
      <c r="G36" s="4">
        <v>4971.2999999999993</v>
      </c>
      <c r="H36" s="4">
        <v>408.59999999999997</v>
      </c>
      <c r="I36" s="55">
        <v>0</v>
      </c>
      <c r="J36" s="32">
        <v>2.21</v>
      </c>
      <c r="K36" s="32">
        <v>3.67</v>
      </c>
      <c r="L36" s="33">
        <f t="shared" si="17"/>
        <v>10986572.999999998</v>
      </c>
      <c r="M36" s="33">
        <f t="shared" si="18"/>
        <v>244.14877943088251</v>
      </c>
      <c r="N36" s="42">
        <f>G36*O36</f>
        <v>9942.5999999999985</v>
      </c>
      <c r="O36" s="24">
        <v>2</v>
      </c>
      <c r="P36" s="9">
        <f>O36*L36</f>
        <v>21973145.999999996</v>
      </c>
      <c r="Q36" s="9">
        <f>Q$5/P$5*P$36</f>
        <v>25988629.103698473</v>
      </c>
      <c r="R36" s="9">
        <f t="shared" si="19"/>
        <v>29691826.143989045</v>
      </c>
      <c r="S36" s="10">
        <f t="shared" si="20"/>
        <v>29691826.143989045</v>
      </c>
      <c r="T36" s="9">
        <f>S36</f>
        <v>29691826.143989045</v>
      </c>
      <c r="U36" s="9">
        <f>T36</f>
        <v>29691826.143989045</v>
      </c>
      <c r="V36" s="10">
        <f t="shared" si="21"/>
        <v>144755933.67965466</v>
      </c>
    </row>
    <row r="37" spans="2:22" x14ac:dyDescent="0.25">
      <c r="B37" s="83"/>
      <c r="C37" t="s">
        <v>62</v>
      </c>
      <c r="D37" t="s">
        <v>63</v>
      </c>
      <c r="E37">
        <f>(250000-100001)/2</f>
        <v>74999.5</v>
      </c>
      <c r="F37" s="4">
        <v>13.62</v>
      </c>
      <c r="G37" s="4">
        <v>4971.2999999999993</v>
      </c>
      <c r="H37" s="4">
        <v>408.59999999999997</v>
      </c>
      <c r="I37" s="55">
        <v>0</v>
      </c>
      <c r="J37" s="32">
        <v>2.21</v>
      </c>
      <c r="K37" s="32">
        <v>3.67</v>
      </c>
      <c r="L37" s="33">
        <f t="shared" si="17"/>
        <v>10986572.999999998</v>
      </c>
      <c r="M37" s="33">
        <f>M36</f>
        <v>244.14877943088251</v>
      </c>
      <c r="N37" s="42">
        <f>G37*O37</f>
        <v>0</v>
      </c>
      <c r="O37" s="24">
        <v>0</v>
      </c>
      <c r="P37" s="9">
        <f>O37*L37</f>
        <v>0</v>
      </c>
      <c r="Q37" s="9">
        <f>Q$5/P$5*P37</f>
        <v>0</v>
      </c>
      <c r="R37" s="9">
        <f t="shared" si="19"/>
        <v>0</v>
      </c>
      <c r="S37" s="10">
        <f t="shared" si="20"/>
        <v>0</v>
      </c>
      <c r="T37" s="9">
        <f>S37</f>
        <v>0</v>
      </c>
      <c r="U37" s="9">
        <f>T37</f>
        <v>0</v>
      </c>
      <c r="V37" s="10">
        <f t="shared" si="21"/>
        <v>0</v>
      </c>
    </row>
    <row r="38" spans="2:22" x14ac:dyDescent="0.25">
      <c r="M38" s="1" t="s">
        <v>52</v>
      </c>
      <c r="N38" s="45">
        <f>SUM(N33:N36)</f>
        <v>11739.494999999999</v>
      </c>
      <c r="O38">
        <f>SUM(O33:O37)</f>
        <v>17</v>
      </c>
      <c r="P38" s="10">
        <f>SUM(P33:P37)</f>
        <v>28190734.849999994</v>
      </c>
      <c r="Q38" s="10">
        <f>SUM(Q33:Q37)</f>
        <v>33342451.380305618</v>
      </c>
      <c r="R38" s="10">
        <f t="shared" ref="R38:U38" si="23">SUM(R33:R37)</f>
        <v>38093516.423979208</v>
      </c>
      <c r="S38" s="10">
        <f t="shared" si="23"/>
        <v>38093516.423979208</v>
      </c>
      <c r="T38" s="10">
        <f>SUM(T33:T37)</f>
        <v>38093516.423979208</v>
      </c>
      <c r="U38" s="10">
        <f t="shared" si="23"/>
        <v>38093516.423979208</v>
      </c>
      <c r="V38" s="10">
        <f t="shared" si="21"/>
        <v>185716517.07622248</v>
      </c>
    </row>
    <row r="39" spans="2:22" x14ac:dyDescent="0.25">
      <c r="Q39">
        <v>2020</v>
      </c>
      <c r="R39">
        <v>2021</v>
      </c>
      <c r="S39">
        <v>2022</v>
      </c>
      <c r="T39">
        <v>2023</v>
      </c>
      <c r="U39">
        <v>2024</v>
      </c>
    </row>
    <row r="41" spans="2:22" x14ac:dyDescent="0.25">
      <c r="P41" s="1" t="s">
        <v>52</v>
      </c>
      <c r="Q41" s="6" t="s">
        <v>53</v>
      </c>
      <c r="R41" s="6" t="s">
        <v>4</v>
      </c>
      <c r="S41" s="6" t="s">
        <v>7</v>
      </c>
      <c r="T41" s="6" t="s">
        <v>9</v>
      </c>
      <c r="U41" s="6" t="s">
        <v>63</v>
      </c>
      <c r="V41" s="6" t="s">
        <v>52</v>
      </c>
    </row>
    <row r="42" spans="2:22" x14ac:dyDescent="0.25">
      <c r="O42" s="1" t="s">
        <v>50</v>
      </c>
      <c r="P42" s="27">
        <f>Q38*5</f>
        <v>166712256.90152809</v>
      </c>
      <c r="Q42" s="9">
        <f>P42*(O33/O$38)</f>
        <v>78452826.777189687</v>
      </c>
      <c r="R42" s="9">
        <f>P42*(O34/O$10)</f>
        <v>58839620.082892269</v>
      </c>
      <c r="S42" s="9">
        <f>O$35/O$38*P42</f>
        <v>9806603.3471487109</v>
      </c>
      <c r="T42" s="9">
        <f>P42*(O$36/O$38)</f>
        <v>19613206.694297422</v>
      </c>
      <c r="U42" s="10">
        <f>P42*O37/O38</f>
        <v>0</v>
      </c>
      <c r="V42" s="10">
        <f>SUM(Q42:U42)</f>
        <v>166712256.90152812</v>
      </c>
    </row>
    <row r="43" spans="2:22" x14ac:dyDescent="0.25">
      <c r="O43" s="1" t="s">
        <v>51</v>
      </c>
      <c r="P43" s="27">
        <f>SUM(Q38:U38)</f>
        <v>185716517.07622248</v>
      </c>
      <c r="Q43" s="9">
        <f>P43*(O33/O$10)</f>
        <v>87396008.035869405</v>
      </c>
      <c r="R43" s="9">
        <f>P43*(O34/O$10)</f>
        <v>65547006.026902057</v>
      </c>
      <c r="S43" s="9">
        <f>O$35/O$38*P43</f>
        <v>10924501.004483676</v>
      </c>
      <c r="T43" s="9">
        <f>P43*(O$36/O$38)</f>
        <v>21849002.008967351</v>
      </c>
      <c r="U43" s="10">
        <f>P43*O37/O38</f>
        <v>0</v>
      </c>
      <c r="V43" s="10">
        <f>SUM(Q43:U43)</f>
        <v>185716517.07622248</v>
      </c>
    </row>
    <row r="45" spans="2:22" x14ac:dyDescent="0.25">
      <c r="D45" t="s">
        <v>54</v>
      </c>
    </row>
    <row r="46" spans="2:22" x14ac:dyDescent="0.25">
      <c r="D46" t="s">
        <v>24</v>
      </c>
      <c r="E46" t="s">
        <v>25</v>
      </c>
      <c r="F46" t="s">
        <v>26</v>
      </c>
      <c r="G46" t="s">
        <v>27</v>
      </c>
      <c r="H46" t="s">
        <v>28</v>
      </c>
    </row>
    <row r="47" spans="2:22" x14ac:dyDescent="0.25">
      <c r="D47" t="s">
        <v>29</v>
      </c>
      <c r="E47" t="s">
        <v>30</v>
      </c>
      <c r="F47" t="s">
        <v>31</v>
      </c>
      <c r="G47" t="s">
        <v>32</v>
      </c>
      <c r="H47">
        <v>2.1053504354944002</v>
      </c>
    </row>
    <row r="48" spans="2:22" x14ac:dyDescent="0.25">
      <c r="D48" t="s">
        <v>29</v>
      </c>
      <c r="E48" t="s">
        <v>30</v>
      </c>
      <c r="F48" t="s">
        <v>31</v>
      </c>
      <c r="G48" t="s">
        <v>33</v>
      </c>
      <c r="H48">
        <v>0.44048950245062601</v>
      </c>
    </row>
    <row r="49" spans="4:9" x14ac:dyDescent="0.25">
      <c r="D49" t="s">
        <v>29</v>
      </c>
      <c r="E49" t="s">
        <v>30</v>
      </c>
      <c r="F49" t="s">
        <v>31</v>
      </c>
      <c r="G49" t="s">
        <v>34</v>
      </c>
      <c r="H49">
        <v>1.2534884144327301</v>
      </c>
    </row>
    <row r="50" spans="4:9" x14ac:dyDescent="0.25">
      <c r="D50" t="s">
        <v>29</v>
      </c>
      <c r="E50" t="s">
        <v>30</v>
      </c>
      <c r="F50" t="s">
        <v>31</v>
      </c>
      <c r="G50" t="s">
        <v>35</v>
      </c>
      <c r="H50">
        <v>1.63457528884312</v>
      </c>
      <c r="I50">
        <f>AVERAGE(H51:H54)</f>
        <v>1.9278940174319898</v>
      </c>
    </row>
    <row r="51" spans="4:9" x14ac:dyDescent="0.25">
      <c r="D51" t="s">
        <v>29</v>
      </c>
      <c r="E51" t="s">
        <v>30</v>
      </c>
      <c r="F51" t="s">
        <v>31</v>
      </c>
      <c r="G51" t="s">
        <v>36</v>
      </c>
      <c r="H51">
        <v>1.5550121803780701</v>
      </c>
    </row>
    <row r="52" spans="4:9" x14ac:dyDescent="0.25">
      <c r="D52" t="s">
        <v>29</v>
      </c>
      <c r="E52" t="s">
        <v>30</v>
      </c>
      <c r="F52" t="s">
        <v>31</v>
      </c>
      <c r="G52" t="s">
        <v>37</v>
      </c>
      <c r="H52">
        <v>2.8294588082256902</v>
      </c>
    </row>
    <row r="53" spans="4:9" x14ac:dyDescent="0.25">
      <c r="D53" t="s">
        <v>29</v>
      </c>
      <c r="E53" t="s">
        <v>30</v>
      </c>
      <c r="F53" t="s">
        <v>31</v>
      </c>
      <c r="G53" t="s">
        <v>38</v>
      </c>
      <c r="H53">
        <v>1.9496292339758301</v>
      </c>
    </row>
    <row r="54" spans="4:9" x14ac:dyDescent="0.25">
      <c r="D54" t="s">
        <v>29</v>
      </c>
      <c r="E54" t="s">
        <v>30</v>
      </c>
      <c r="F54" t="s">
        <v>31</v>
      </c>
      <c r="G54" t="s">
        <v>39</v>
      </c>
      <c r="H54">
        <v>1.3774758471483699</v>
      </c>
      <c r="I54">
        <f>AVERAGE(H55:H58)</f>
        <v>1.6874449664128299</v>
      </c>
    </row>
    <row r="55" spans="4:9" x14ac:dyDescent="0.25">
      <c r="D55" t="s">
        <v>29</v>
      </c>
      <c r="E55" t="s">
        <v>30</v>
      </c>
      <c r="F55" t="s">
        <v>31</v>
      </c>
      <c r="G55" t="s">
        <v>40</v>
      </c>
      <c r="H55">
        <v>1.5573162820779001</v>
      </c>
    </row>
    <row r="56" spans="4:9" x14ac:dyDescent="0.25">
      <c r="D56" t="s">
        <v>29</v>
      </c>
      <c r="E56" t="s">
        <v>30</v>
      </c>
      <c r="F56" t="s">
        <v>31</v>
      </c>
      <c r="G56" t="s">
        <v>41</v>
      </c>
      <c r="H56">
        <v>1.66934768701467</v>
      </c>
    </row>
    <row r="57" spans="4:9" x14ac:dyDescent="0.25">
      <c r="D57" t="s">
        <v>29</v>
      </c>
      <c r="E57" t="s">
        <v>30</v>
      </c>
      <c r="F57" t="s">
        <v>31</v>
      </c>
      <c r="G57" t="s">
        <v>42</v>
      </c>
      <c r="H57">
        <v>1.73122695084699</v>
      </c>
    </row>
    <row r="58" spans="4:9" x14ac:dyDescent="0.25">
      <c r="D58" t="s">
        <v>29</v>
      </c>
      <c r="E58" t="s">
        <v>30</v>
      </c>
      <c r="F58" t="s">
        <v>31</v>
      </c>
      <c r="G58" t="s">
        <v>43</v>
      </c>
      <c r="H58">
        <v>1.7918889457117599</v>
      </c>
      <c r="I58">
        <f>AVERAGE(H55:H58)</f>
        <v>1.6874449664128299</v>
      </c>
    </row>
  </sheetData>
  <mergeCells count="1">
    <mergeCell ref="B3:B3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A5F16-CD19-411B-AA6E-D15CF4FE003A}">
  <dimension ref="A2:U57"/>
  <sheetViews>
    <sheetView workbookViewId="0">
      <selection activeCell="J17" sqref="J17"/>
    </sheetView>
  </sheetViews>
  <sheetFormatPr defaultRowHeight="15" x14ac:dyDescent="0.25"/>
  <cols>
    <col min="1" max="1" width="15.140625" customWidth="1"/>
    <col min="2" max="2" width="13.28515625" customWidth="1"/>
    <col min="3" max="3" width="16.7109375" customWidth="1"/>
    <col min="4" max="4" width="12.5703125" customWidth="1"/>
    <col min="5" max="5" width="16.5703125" customWidth="1"/>
    <col min="6" max="6" width="25.28515625" customWidth="1"/>
    <col min="7" max="7" width="16.7109375" customWidth="1"/>
    <col min="8" max="8" width="13.140625" customWidth="1"/>
    <col min="9" max="9" width="14.5703125" customWidth="1"/>
    <col min="10" max="10" width="15.42578125" customWidth="1"/>
    <col min="11" max="11" width="18" bestFit="1" customWidth="1"/>
    <col min="12" max="13" width="17" customWidth="1"/>
    <col min="15" max="15" width="22.5703125" customWidth="1"/>
    <col min="16" max="16" width="16" customWidth="1"/>
    <col min="17" max="17" width="16.28515625" customWidth="1"/>
    <col min="18" max="18" width="16.7109375" customWidth="1"/>
    <col min="19" max="19" width="18.140625" customWidth="1"/>
    <col min="20" max="20" width="19.28515625" customWidth="1"/>
    <col min="21" max="21" width="19.5703125" customWidth="1"/>
  </cols>
  <sheetData>
    <row r="2" spans="1:21" x14ac:dyDescent="0.25">
      <c r="A2" s="85" t="s">
        <v>17</v>
      </c>
      <c r="B2" s="18" t="s">
        <v>55</v>
      </c>
      <c r="C2" s="19"/>
      <c r="D2" s="19"/>
      <c r="E2" s="19"/>
      <c r="F2" s="19"/>
      <c r="G2" s="19"/>
      <c r="H2" s="19"/>
      <c r="I2" s="19"/>
      <c r="J2" s="19"/>
      <c r="K2" s="21" t="s">
        <v>59</v>
      </c>
      <c r="L2" s="20"/>
      <c r="M2" s="20"/>
      <c r="N2" s="20"/>
      <c r="O2" s="22" t="s">
        <v>56</v>
      </c>
      <c r="P2" s="23"/>
      <c r="Q2" s="23"/>
      <c r="R2" s="23"/>
      <c r="S2" s="23"/>
      <c r="T2" s="23"/>
      <c r="U2" s="23"/>
    </row>
    <row r="3" spans="1:21" ht="60" x14ac:dyDescent="0.25">
      <c r="A3" s="85"/>
      <c r="B3" s="2" t="s">
        <v>5</v>
      </c>
      <c r="C3" s="2" t="s">
        <v>0</v>
      </c>
      <c r="D3" s="2" t="s">
        <v>12</v>
      </c>
      <c r="E3" s="2" t="s">
        <v>10</v>
      </c>
      <c r="F3" s="2" t="s">
        <v>20</v>
      </c>
      <c r="G3" s="2" t="s">
        <v>21</v>
      </c>
      <c r="H3" s="2" t="s">
        <v>14</v>
      </c>
      <c r="I3" s="2" t="s">
        <v>15</v>
      </c>
      <c r="J3" s="2" t="s">
        <v>16</v>
      </c>
      <c r="K3" s="2" t="s">
        <v>19</v>
      </c>
      <c r="L3" s="2" t="s">
        <v>22</v>
      </c>
      <c r="M3" s="2" t="s">
        <v>60</v>
      </c>
      <c r="N3" s="25" t="s">
        <v>61</v>
      </c>
      <c r="O3" s="2" t="s">
        <v>44</v>
      </c>
      <c r="P3" s="2" t="s">
        <v>45</v>
      </c>
      <c r="Q3" s="2" t="s">
        <v>46</v>
      </c>
      <c r="R3" s="2" t="s">
        <v>47</v>
      </c>
      <c r="S3" s="2" t="s">
        <v>48</v>
      </c>
      <c r="T3" s="2" t="s">
        <v>49</v>
      </c>
      <c r="U3" s="11" t="s">
        <v>68</v>
      </c>
    </row>
    <row r="4" spans="1:21" x14ac:dyDescent="0.25">
      <c r="A4" s="85"/>
      <c r="B4" t="s">
        <v>1</v>
      </c>
      <c r="C4" t="s">
        <v>2</v>
      </c>
      <c r="D4">
        <v>237.5</v>
      </c>
      <c r="E4" s="4">
        <v>8.0500000000000002E-2</v>
      </c>
      <c r="F4" s="4">
        <v>29.3825</v>
      </c>
      <c r="G4" s="4">
        <v>2.415</v>
      </c>
      <c r="H4" s="55">
        <v>0</v>
      </c>
      <c r="I4" s="32">
        <v>0.28000000000000003</v>
      </c>
      <c r="J4" s="32">
        <v>0.62</v>
      </c>
      <c r="K4" s="33">
        <f>F4*I4*1000</f>
        <v>8227.1</v>
      </c>
      <c r="L4" s="46">
        <f>K4/D4</f>
        <v>34.640421052631581</v>
      </c>
      <c r="M4" s="43">
        <f>F4*N4</f>
        <v>852.09249999999997</v>
      </c>
      <c r="N4" s="24">
        <v>29</v>
      </c>
      <c r="O4" s="7">
        <f>N4*K4</f>
        <v>238585.90000000002</v>
      </c>
      <c r="P4" s="56">
        <v>282186.27</v>
      </c>
      <c r="Q4" s="7">
        <f>P4*H$49/H$53</f>
        <v>322395.83071614883</v>
      </c>
      <c r="R4" s="8">
        <f>P4*H$49/H$57</f>
        <v>322395.83071614883</v>
      </c>
      <c r="S4" s="7">
        <f>R4</f>
        <v>322395.83071614883</v>
      </c>
      <c r="T4" s="7">
        <f>R4</f>
        <v>322395.83071614883</v>
      </c>
      <c r="U4" s="7">
        <f>SUM(P4:T4)</f>
        <v>1571769.5928645954</v>
      </c>
    </row>
    <row r="5" spans="1:21" x14ac:dyDescent="0.25">
      <c r="A5" s="85"/>
      <c r="B5" t="s">
        <v>3</v>
      </c>
      <c r="C5" t="s">
        <v>4</v>
      </c>
      <c r="D5">
        <v>1414.5</v>
      </c>
      <c r="E5" s="4">
        <v>0.53650000000000009</v>
      </c>
      <c r="F5" s="4">
        <v>195.82250000000002</v>
      </c>
      <c r="G5" s="4">
        <v>16.095000000000002</v>
      </c>
      <c r="H5" s="55">
        <v>0</v>
      </c>
      <c r="I5" s="32">
        <v>0.15</v>
      </c>
      <c r="J5" s="32">
        <v>0.34</v>
      </c>
      <c r="K5" s="33">
        <f t="shared" ref="K5:K8" si="0">F5*I5*1000</f>
        <v>29373.375000000004</v>
      </c>
      <c r="L5" s="46">
        <f t="shared" ref="L5:L8" si="1">K5/D5</f>
        <v>20.765906680805941</v>
      </c>
      <c r="M5" s="43">
        <f t="shared" ref="M5:M8" si="2">F5*N5</f>
        <v>1958.2250000000001</v>
      </c>
      <c r="N5" s="24">
        <v>10</v>
      </c>
      <c r="O5" s="7">
        <f t="shared" ref="O5:O7" si="3">N5*K5</f>
        <v>293733.75000000006</v>
      </c>
      <c r="P5" s="7">
        <f>P$4/O$4*O5</f>
        <v>347412.11146850046</v>
      </c>
      <c r="Q5" s="7">
        <f t="shared" ref="Q5:Q8" si="4">P5*H$49/H$53</f>
        <v>396915.89628984604</v>
      </c>
      <c r="R5" s="8">
        <f t="shared" ref="R5:R8" si="5">P5*H$49/H$57</f>
        <v>396915.89628984604</v>
      </c>
      <c r="S5" s="7">
        <f>R5</f>
        <v>396915.89628984604</v>
      </c>
      <c r="T5" s="7">
        <f>R5</f>
        <v>396915.89628984604</v>
      </c>
      <c r="U5" s="7">
        <f>SUM(P5:T5)</f>
        <v>1935075.6966278846</v>
      </c>
    </row>
    <row r="6" spans="1:21" x14ac:dyDescent="0.25">
      <c r="A6" s="85"/>
      <c r="B6" t="s">
        <v>6</v>
      </c>
      <c r="C6" t="s">
        <v>7</v>
      </c>
      <c r="D6">
        <v>3349.5</v>
      </c>
      <c r="E6" s="4">
        <v>1.06</v>
      </c>
      <c r="F6" s="4">
        <v>386.90000000000003</v>
      </c>
      <c r="G6" s="4">
        <v>31.8</v>
      </c>
      <c r="H6" s="55">
        <v>0</v>
      </c>
      <c r="I6" s="32">
        <v>0.12</v>
      </c>
      <c r="J6" s="32">
        <v>0.36</v>
      </c>
      <c r="K6" s="33">
        <f t="shared" si="0"/>
        <v>46428.000000000007</v>
      </c>
      <c r="L6" s="46">
        <f t="shared" si="1"/>
        <v>13.861173309449173</v>
      </c>
      <c r="M6" s="43">
        <f t="shared" si="2"/>
        <v>386.90000000000003</v>
      </c>
      <c r="N6" s="24">
        <v>1</v>
      </c>
      <c r="O6" s="7">
        <f t="shared" si="3"/>
        <v>46428.000000000007</v>
      </c>
      <c r="P6" s="7">
        <f>P$4/O$4*O6</f>
        <v>54912.482856530922</v>
      </c>
      <c r="Q6" s="7">
        <f t="shared" si="4"/>
        <v>62737.125825496638</v>
      </c>
      <c r="R6" s="8">
        <f t="shared" si="5"/>
        <v>62737.125825496638</v>
      </c>
      <c r="S6" s="7">
        <f>R6</f>
        <v>62737.125825496638</v>
      </c>
      <c r="T6" s="7">
        <f>R6</f>
        <v>62737.125825496638</v>
      </c>
      <c r="U6" s="7">
        <f t="shared" ref="U6:U7" si="6">SUM(P6:T6)</f>
        <v>305860.98615851742</v>
      </c>
    </row>
    <row r="7" spans="1:21" x14ac:dyDescent="0.25">
      <c r="A7" s="85"/>
      <c r="B7" t="s">
        <v>8</v>
      </c>
      <c r="C7" t="s">
        <v>9</v>
      </c>
      <c r="D7">
        <v>44999.5</v>
      </c>
      <c r="E7" s="4">
        <v>13.62</v>
      </c>
      <c r="F7" s="4">
        <v>4971.2999999999993</v>
      </c>
      <c r="G7" s="4">
        <v>408.59999999999997</v>
      </c>
      <c r="H7" s="55">
        <v>0</v>
      </c>
      <c r="I7" s="32">
        <v>0.13</v>
      </c>
      <c r="J7" s="32">
        <v>0.22</v>
      </c>
      <c r="K7" s="33">
        <f t="shared" si="0"/>
        <v>646268.99999999988</v>
      </c>
      <c r="L7" s="46">
        <f t="shared" si="1"/>
        <v>14.361692907698972</v>
      </c>
      <c r="M7" s="43">
        <f t="shared" si="2"/>
        <v>0</v>
      </c>
      <c r="N7" s="24">
        <v>0</v>
      </c>
      <c r="O7" s="7">
        <f t="shared" si="3"/>
        <v>0</v>
      </c>
      <c r="P7" s="7">
        <f t="shared" ref="P7" si="7">P$4/O$4*O7</f>
        <v>0</v>
      </c>
      <c r="Q7" s="7">
        <f t="shared" si="4"/>
        <v>0</v>
      </c>
      <c r="R7" s="8">
        <f t="shared" si="5"/>
        <v>0</v>
      </c>
      <c r="S7" s="7">
        <f>R7</f>
        <v>0</v>
      </c>
      <c r="T7" s="7">
        <f>R7</f>
        <v>0</v>
      </c>
      <c r="U7" s="7">
        <f t="shared" si="6"/>
        <v>0</v>
      </c>
    </row>
    <row r="8" spans="1:21" x14ac:dyDescent="0.25">
      <c r="A8" s="85"/>
      <c r="B8" t="s">
        <v>62</v>
      </c>
      <c r="C8" t="s">
        <v>63</v>
      </c>
      <c r="D8">
        <f>(250000-100001)/2</f>
        <v>74999.5</v>
      </c>
      <c r="E8" s="4">
        <f>E7*D$8/D$7</f>
        <v>22.700100890009889</v>
      </c>
      <c r="F8" s="4">
        <f>F7*D$8/D$7</f>
        <v>8285.5368248536088</v>
      </c>
      <c r="G8" s="4">
        <f>G7*D$8/D$7</f>
        <v>681.00302670029669</v>
      </c>
      <c r="H8" s="55">
        <v>0</v>
      </c>
      <c r="I8" s="4">
        <f>I7*D$8/D$7</f>
        <v>0.21666762964032932</v>
      </c>
      <c r="J8" s="4">
        <f>J7*D$8/D$7</f>
        <v>0.36666829631440351</v>
      </c>
      <c r="K8" s="33">
        <f t="shared" si="0"/>
        <v>1795207.6241386919</v>
      </c>
      <c r="L8" s="46">
        <f t="shared" si="1"/>
        <v>23.936261230257429</v>
      </c>
      <c r="M8" s="43">
        <f t="shared" si="2"/>
        <v>8285.5368248536088</v>
      </c>
      <c r="N8" s="24">
        <v>1</v>
      </c>
      <c r="O8" s="7">
        <f>N8*K8</f>
        <v>1795207.6241386919</v>
      </c>
      <c r="P8" s="7">
        <f>P$4/O$4*O8</f>
        <v>2123272.763944807</v>
      </c>
      <c r="Q8" s="7">
        <f t="shared" si="4"/>
        <v>2425824.2138037384</v>
      </c>
      <c r="R8" s="8">
        <f t="shared" si="5"/>
        <v>2425824.2138037384</v>
      </c>
      <c r="S8" s="7">
        <f>R8</f>
        <v>2425824.2138037384</v>
      </c>
      <c r="T8" s="7">
        <f>R8</f>
        <v>2425824.2138037384</v>
      </c>
      <c r="U8" s="7">
        <f>SUM(P8:T8)</f>
        <v>11826569.61915976</v>
      </c>
    </row>
    <row r="9" spans="1:21" x14ac:dyDescent="0.25">
      <c r="A9" s="85"/>
      <c r="L9" s="1" t="s">
        <v>52</v>
      </c>
      <c r="M9" s="44">
        <f>SUM(M4:M7)</f>
        <v>3197.2175000000002</v>
      </c>
      <c r="N9">
        <f>SUM(N4:N8)</f>
        <v>41</v>
      </c>
      <c r="O9" s="8">
        <f>SUM(O4:O8)</f>
        <v>2373955.2741386918</v>
      </c>
      <c r="P9" s="8">
        <f t="shared" ref="P9:T9" si="8">SUM(P4:P8)</f>
        <v>2807783.6282698382</v>
      </c>
      <c r="Q9" s="8">
        <f t="shared" si="8"/>
        <v>3207873.0666352296</v>
      </c>
      <c r="R9" s="8">
        <f t="shared" si="8"/>
        <v>3207873.0666352296</v>
      </c>
      <c r="S9" s="8">
        <f t="shared" si="8"/>
        <v>3207873.0666352296</v>
      </c>
      <c r="T9" s="8">
        <f t="shared" si="8"/>
        <v>3207873.0666352296</v>
      </c>
      <c r="U9" s="7">
        <f>SUM(P9:T9)</f>
        <v>15639275.894810755</v>
      </c>
    </row>
    <row r="10" spans="1:21" x14ac:dyDescent="0.25">
      <c r="A10" s="85"/>
      <c r="P10">
        <v>2020</v>
      </c>
      <c r="Q10">
        <v>2021</v>
      </c>
      <c r="R10">
        <v>2022</v>
      </c>
      <c r="S10">
        <v>2023</v>
      </c>
      <c r="T10">
        <v>2024</v>
      </c>
    </row>
    <row r="11" spans="1:21" x14ac:dyDescent="0.25">
      <c r="A11" s="85"/>
    </row>
    <row r="12" spans="1:21" x14ac:dyDescent="0.25">
      <c r="A12" s="85"/>
      <c r="O12" s="1" t="s">
        <v>52</v>
      </c>
      <c r="P12" s="6" t="s">
        <v>53</v>
      </c>
      <c r="Q12" s="6" t="s">
        <v>4</v>
      </c>
      <c r="R12" s="6" t="s">
        <v>7</v>
      </c>
      <c r="S12" s="6" t="s">
        <v>9</v>
      </c>
      <c r="T12" s="1" t="s">
        <v>63</v>
      </c>
      <c r="U12" s="6" t="s">
        <v>52</v>
      </c>
    </row>
    <row r="13" spans="1:21" x14ac:dyDescent="0.25">
      <c r="A13" s="85"/>
      <c r="M13" s="84" t="s">
        <v>50</v>
      </c>
      <c r="N13" s="84"/>
      <c r="O13" s="26">
        <f>P9*5</f>
        <v>14038918.141349191</v>
      </c>
      <c r="P13" s="7">
        <f>O13*(N4/N$9)</f>
        <v>9929966.4902225975</v>
      </c>
      <c r="Q13" s="7">
        <f>O13*(N5/N$9)</f>
        <v>3424126.3759388272</v>
      </c>
      <c r="R13" s="7">
        <f>N6/N$9*O13</f>
        <v>342412.63759388274</v>
      </c>
      <c r="S13" s="7">
        <f>O13*(N$7/N$9)</f>
        <v>0</v>
      </c>
      <c r="T13" s="7">
        <f>O13*N8/N9</f>
        <v>342412.63759388268</v>
      </c>
      <c r="U13" s="8">
        <f>SUM(P13:T13)</f>
        <v>14038918.141349189</v>
      </c>
    </row>
    <row r="14" spans="1:21" x14ac:dyDescent="0.25">
      <c r="A14" s="85"/>
      <c r="M14" s="84" t="s">
        <v>51</v>
      </c>
      <c r="N14" s="84"/>
      <c r="O14" s="26">
        <f>SUM(P9:T9)</f>
        <v>15639275.894810755</v>
      </c>
      <c r="P14" s="7">
        <f>O14*(N4/N$9)</f>
        <v>11061926.852427119</v>
      </c>
      <c r="Q14" s="7">
        <f>O14*(N5/N$9)</f>
        <v>3814457.5353196962</v>
      </c>
      <c r="R14" s="7">
        <f>O14*N6/N$9</f>
        <v>381445.75353196962</v>
      </c>
      <c r="S14" s="7">
        <f>O14*(N$7/N$9)</f>
        <v>0</v>
      </c>
      <c r="T14" s="7">
        <f>O14*N8/N9</f>
        <v>381445.75353196962</v>
      </c>
      <c r="U14" s="8">
        <f>SUM(P14:T14)</f>
        <v>15639275.894810755</v>
      </c>
    </row>
    <row r="15" spans="1:21" x14ac:dyDescent="0.25">
      <c r="A15" s="85"/>
    </row>
    <row r="16" spans="1:21" x14ac:dyDescent="0.25">
      <c r="A16" s="85"/>
      <c r="B16" s="18" t="s">
        <v>55</v>
      </c>
      <c r="C16" s="19"/>
      <c r="D16" s="19"/>
      <c r="E16" s="19"/>
      <c r="F16" s="19"/>
      <c r="G16" s="19"/>
      <c r="H16" s="19"/>
      <c r="I16" s="19"/>
      <c r="J16" s="19"/>
      <c r="K16" s="21" t="s">
        <v>59</v>
      </c>
      <c r="L16" s="20"/>
      <c r="M16" s="20"/>
      <c r="N16" s="20"/>
      <c r="O16" s="17" t="s">
        <v>57</v>
      </c>
      <c r="P16" s="14"/>
      <c r="Q16" s="14"/>
      <c r="R16" s="14"/>
      <c r="S16" s="14"/>
      <c r="T16" s="14"/>
      <c r="U16" s="14"/>
    </row>
    <row r="17" spans="1:21" ht="60" x14ac:dyDescent="0.25">
      <c r="A17" s="85"/>
      <c r="B17" s="2" t="s">
        <v>5</v>
      </c>
      <c r="C17" s="2" t="s">
        <v>0</v>
      </c>
      <c r="D17" s="2" t="s">
        <v>12</v>
      </c>
      <c r="E17" s="2" t="s">
        <v>10</v>
      </c>
      <c r="F17" s="2" t="s">
        <v>20</v>
      </c>
      <c r="G17" s="2" t="s">
        <v>21</v>
      </c>
      <c r="H17" s="2" t="s">
        <v>14</v>
      </c>
      <c r="I17" s="2" t="s">
        <v>15</v>
      </c>
      <c r="J17" s="2" t="s">
        <v>16</v>
      </c>
      <c r="K17" s="2" t="s">
        <v>19</v>
      </c>
      <c r="L17" s="2" t="s">
        <v>22</v>
      </c>
      <c r="M17" s="2" t="s">
        <v>60</v>
      </c>
      <c r="N17" s="25" t="s">
        <v>61</v>
      </c>
      <c r="O17" s="2" t="s">
        <v>44</v>
      </c>
      <c r="P17" s="2" t="s">
        <v>45</v>
      </c>
      <c r="Q17" s="2" t="s">
        <v>46</v>
      </c>
      <c r="R17" s="2" t="s">
        <v>47</v>
      </c>
      <c r="S17" s="2" t="s">
        <v>48</v>
      </c>
      <c r="T17" s="2" t="s">
        <v>49</v>
      </c>
      <c r="U17" s="11" t="s">
        <v>68</v>
      </c>
    </row>
    <row r="18" spans="1:21" x14ac:dyDescent="0.25">
      <c r="A18" s="85"/>
      <c r="B18" t="s">
        <v>1</v>
      </c>
      <c r="C18" t="s">
        <v>2</v>
      </c>
      <c r="D18">
        <v>237.5</v>
      </c>
      <c r="E18" s="4">
        <v>8.0500000000000002E-2</v>
      </c>
      <c r="F18" s="4">
        <v>29.3825</v>
      </c>
      <c r="G18" s="4">
        <v>2.415</v>
      </c>
      <c r="H18" s="55">
        <v>0</v>
      </c>
      <c r="I18" s="32">
        <v>1.22</v>
      </c>
      <c r="J18" s="32">
        <v>1.97</v>
      </c>
      <c r="K18" s="7">
        <f>I18*1000*F18</f>
        <v>35846.65</v>
      </c>
      <c r="L18" s="9">
        <f>K18/D18</f>
        <v>150.93326315789474</v>
      </c>
      <c r="M18" s="42">
        <f>F18*N18</f>
        <v>852.09249999999997</v>
      </c>
      <c r="N18" s="24">
        <v>29</v>
      </c>
      <c r="O18" s="7">
        <f>N18*K18</f>
        <v>1039552.8500000001</v>
      </c>
      <c r="P18" s="7">
        <f>O18*(P$4/O$4)</f>
        <v>1229525.8907142857</v>
      </c>
      <c r="Q18" s="7">
        <f>P18*H$49/H$53</f>
        <v>1404724.6909775056</v>
      </c>
      <c r="R18" s="8">
        <f>P18*H$49/H$57</f>
        <v>1404724.6909775056</v>
      </c>
      <c r="S18" s="7">
        <f>R18</f>
        <v>1404724.6909775056</v>
      </c>
      <c r="T18" s="7">
        <f>R18</f>
        <v>1404724.6909775056</v>
      </c>
      <c r="U18" s="7">
        <f>SUM(P18:T18)</f>
        <v>6848424.6546243075</v>
      </c>
    </row>
    <row r="19" spans="1:21" x14ac:dyDescent="0.25">
      <c r="A19" s="85"/>
      <c r="B19" t="s">
        <v>3</v>
      </c>
      <c r="C19" t="s">
        <v>4</v>
      </c>
      <c r="D19">
        <v>1414.5</v>
      </c>
      <c r="E19" s="4">
        <v>0.53650000000000009</v>
      </c>
      <c r="F19" s="4">
        <v>195.82250000000002</v>
      </c>
      <c r="G19" s="4">
        <v>16.095000000000002</v>
      </c>
      <c r="H19" s="55">
        <v>0</v>
      </c>
      <c r="I19" s="32">
        <v>0.87</v>
      </c>
      <c r="J19" s="32">
        <v>1.05</v>
      </c>
      <c r="K19" s="7">
        <f t="shared" ref="K19:K22" si="9">I19*1000*F19</f>
        <v>170365.57500000001</v>
      </c>
      <c r="L19" s="9">
        <f t="shared" ref="L19:L22" si="10">K19/D19</f>
        <v>120.44225874867445</v>
      </c>
      <c r="M19" s="42">
        <f>F19*N19</f>
        <v>1958.2250000000001</v>
      </c>
      <c r="N19" s="24">
        <v>10</v>
      </c>
      <c r="O19" s="7">
        <f t="shared" ref="O19:O21" si="11">N19*K19</f>
        <v>1703655.75</v>
      </c>
      <c r="P19" s="7">
        <f>P$4/O$4*O19</f>
        <v>2014990.2465173022</v>
      </c>
      <c r="Q19" s="7">
        <f t="shared" ref="Q19:Q21" si="12">P19*H$49/H$53</f>
        <v>2302112.1984811067</v>
      </c>
      <c r="R19" s="8">
        <f t="shared" ref="R19:R22" si="13">P19*H$49/H$57</f>
        <v>2302112.1984811067</v>
      </c>
      <c r="S19" s="7">
        <f>R19</f>
        <v>2302112.1984811067</v>
      </c>
      <c r="T19" s="7">
        <f>R19</f>
        <v>2302112.1984811067</v>
      </c>
      <c r="U19" s="7">
        <f>SUM(P19:T19)</f>
        <v>11223439.040441729</v>
      </c>
    </row>
    <row r="20" spans="1:21" x14ac:dyDescent="0.25">
      <c r="A20" s="85"/>
      <c r="B20" t="s">
        <v>6</v>
      </c>
      <c r="C20" t="s">
        <v>7</v>
      </c>
      <c r="D20">
        <v>3349.5</v>
      </c>
      <c r="E20" s="4">
        <v>1.06</v>
      </c>
      <c r="F20" s="4">
        <v>386.90000000000003</v>
      </c>
      <c r="G20" s="4">
        <v>31.8</v>
      </c>
      <c r="H20" s="55">
        <v>0</v>
      </c>
      <c r="I20" s="32">
        <v>0.84</v>
      </c>
      <c r="J20" s="32">
        <v>1.06</v>
      </c>
      <c r="K20" s="7">
        <f t="shared" si="9"/>
        <v>324996</v>
      </c>
      <c r="L20" s="9">
        <f t="shared" si="10"/>
        <v>97.028213166144198</v>
      </c>
      <c r="M20" s="42">
        <f>F20*N20</f>
        <v>386.90000000000003</v>
      </c>
      <c r="N20" s="24">
        <v>1</v>
      </c>
      <c r="O20" s="7">
        <f>N20*K20</f>
        <v>324996</v>
      </c>
      <c r="P20" s="7">
        <f>P$4/O$4*O20</f>
        <v>384387.37999571639</v>
      </c>
      <c r="Q20" s="7">
        <f t="shared" si="12"/>
        <v>439159.88077847642</v>
      </c>
      <c r="R20" s="8">
        <f t="shared" si="13"/>
        <v>439159.88077847642</v>
      </c>
      <c r="S20" s="7">
        <f>R20</f>
        <v>439159.88077847642</v>
      </c>
      <c r="T20" s="7">
        <f>R20</f>
        <v>439159.88077847642</v>
      </c>
      <c r="U20" s="7">
        <f t="shared" ref="U20:U21" si="14">SUM(P20:T20)</f>
        <v>2141026.9031096222</v>
      </c>
    </row>
    <row r="21" spans="1:21" x14ac:dyDescent="0.25">
      <c r="A21" s="85"/>
      <c r="B21" t="s">
        <v>8</v>
      </c>
      <c r="C21" t="s">
        <v>9</v>
      </c>
      <c r="D21">
        <v>44999.5</v>
      </c>
      <c r="E21" s="4">
        <v>13.62</v>
      </c>
      <c r="F21" s="4">
        <v>4971.2999999999993</v>
      </c>
      <c r="G21" s="4">
        <v>408.59999999999997</v>
      </c>
      <c r="H21" s="55">
        <v>0</v>
      </c>
      <c r="I21" s="32">
        <v>0.66</v>
      </c>
      <c r="J21" s="32">
        <v>0.97</v>
      </c>
      <c r="K21" s="7">
        <f t="shared" si="9"/>
        <v>3281057.9999999995</v>
      </c>
      <c r="L21" s="9">
        <f t="shared" si="10"/>
        <v>72.913210146779392</v>
      </c>
      <c r="M21" s="42">
        <f t="shared" ref="M21:M22" si="15">F21*N21</f>
        <v>0</v>
      </c>
      <c r="N21" s="24">
        <v>0</v>
      </c>
      <c r="O21" s="7">
        <f t="shared" si="11"/>
        <v>0</v>
      </c>
      <c r="P21" s="7">
        <f t="shared" ref="P21" si="16">P$4/O$4*O21</f>
        <v>0</v>
      </c>
      <c r="Q21" s="7">
        <f t="shared" si="12"/>
        <v>0</v>
      </c>
      <c r="R21" s="8">
        <f t="shared" si="13"/>
        <v>0</v>
      </c>
      <c r="S21" s="7">
        <f>R21</f>
        <v>0</v>
      </c>
      <c r="T21" s="7">
        <f>R21</f>
        <v>0</v>
      </c>
      <c r="U21" s="7">
        <f t="shared" si="14"/>
        <v>0</v>
      </c>
    </row>
    <row r="22" spans="1:21" x14ac:dyDescent="0.25">
      <c r="A22" s="85"/>
      <c r="B22" t="s">
        <v>62</v>
      </c>
      <c r="C22" t="s">
        <v>63</v>
      </c>
      <c r="D22">
        <f>(250000-100001)/2</f>
        <v>74999.5</v>
      </c>
      <c r="E22" s="4">
        <f>E21*D$8/D$7</f>
        <v>22.700100890009889</v>
      </c>
      <c r="F22" s="4">
        <f>F21*D$8/D$7</f>
        <v>8285.5368248536088</v>
      </c>
      <c r="G22" s="4">
        <f>G21*D$8/D$7</f>
        <v>681.00302670029669</v>
      </c>
      <c r="H22" s="55">
        <v>0</v>
      </c>
      <c r="I22" s="4">
        <f>I21*D$8/D$7</f>
        <v>1.1000048889432106</v>
      </c>
      <c r="J22" s="4">
        <f>J21*D$8/D$7</f>
        <v>1.6166738519316881</v>
      </c>
      <c r="K22" s="7">
        <f t="shared" si="9"/>
        <v>9114131.0148579758</v>
      </c>
      <c r="L22" s="9">
        <f t="shared" si="10"/>
        <v>121.52255701515311</v>
      </c>
      <c r="M22" s="42">
        <f t="shared" si="15"/>
        <v>8285.5368248536088</v>
      </c>
      <c r="N22" s="24">
        <v>1</v>
      </c>
      <c r="O22" s="7">
        <f>N22*K22</f>
        <v>9114131.0148579758</v>
      </c>
      <c r="P22" s="7">
        <f>P$4/O$4*O22</f>
        <v>10779692.493873639</v>
      </c>
      <c r="Q22" s="7">
        <f>P22*H$49/H$53</f>
        <v>12315722.931618985</v>
      </c>
      <c r="R22" s="8">
        <f t="shared" si="13"/>
        <v>12315722.931618985</v>
      </c>
      <c r="S22" s="7">
        <f>R22</f>
        <v>12315722.931618985</v>
      </c>
      <c r="T22" s="7">
        <f>R22</f>
        <v>12315722.931618985</v>
      </c>
      <c r="U22" s="7">
        <f>SUM(P22:T22)</f>
        <v>60042584.22034958</v>
      </c>
    </row>
    <row r="23" spans="1:21" x14ac:dyDescent="0.25">
      <c r="A23" s="85"/>
      <c r="L23" s="1" t="s">
        <v>52</v>
      </c>
      <c r="M23" s="45">
        <f>SUM(M18:M21)</f>
        <v>3197.2175000000002</v>
      </c>
      <c r="N23">
        <f>SUM(N18:N22)</f>
        <v>41</v>
      </c>
      <c r="O23" s="8">
        <f>SUM(O18:O22)</f>
        <v>12182335.614857975</v>
      </c>
      <c r="P23" s="8">
        <f t="shared" ref="P23:T23" si="17">SUM(P18:P22)</f>
        <v>14408596.011100944</v>
      </c>
      <c r="Q23" s="8">
        <f t="shared" si="17"/>
        <v>16461719.701856073</v>
      </c>
      <c r="R23" s="8">
        <f t="shared" si="17"/>
        <v>16461719.701856073</v>
      </c>
      <c r="S23" s="8">
        <f t="shared" si="17"/>
        <v>16461719.701856073</v>
      </c>
      <c r="T23" s="8">
        <f t="shared" si="17"/>
        <v>16461719.701856073</v>
      </c>
      <c r="U23" s="8">
        <f>SUM(U18:U22)</f>
        <v>80255474.81852524</v>
      </c>
    </row>
    <row r="24" spans="1:21" x14ac:dyDescent="0.25">
      <c r="A24" s="85"/>
      <c r="P24">
        <v>2020</v>
      </c>
      <c r="Q24">
        <v>2021</v>
      </c>
      <c r="R24">
        <v>2022</v>
      </c>
      <c r="S24">
        <v>2023</v>
      </c>
      <c r="T24">
        <v>2024</v>
      </c>
    </row>
    <row r="25" spans="1:21" x14ac:dyDescent="0.25">
      <c r="A25" s="85"/>
    </row>
    <row r="26" spans="1:21" x14ac:dyDescent="0.25">
      <c r="A26" s="85"/>
      <c r="O26" s="1" t="s">
        <v>52</v>
      </c>
      <c r="P26" s="6" t="s">
        <v>53</v>
      </c>
      <c r="Q26" s="6" t="s">
        <v>4</v>
      </c>
      <c r="R26" s="6" t="s">
        <v>7</v>
      </c>
      <c r="S26" s="6" t="s">
        <v>9</v>
      </c>
      <c r="T26" s="11" t="s">
        <v>63</v>
      </c>
      <c r="U26" s="11" t="s">
        <v>52</v>
      </c>
    </row>
    <row r="27" spans="1:21" x14ac:dyDescent="0.25">
      <c r="A27" s="85"/>
      <c r="M27" s="84" t="s">
        <v>50</v>
      </c>
      <c r="N27" s="84"/>
      <c r="O27" s="27">
        <f>P23*5</f>
        <v>72042980.055504724</v>
      </c>
      <c r="P27" s="9">
        <f>O27*(N$18/N$23)</f>
        <v>50957229.795356996</v>
      </c>
      <c r="Q27" s="9">
        <f>O27*(N19/N$9)</f>
        <v>17571458.550123103</v>
      </c>
      <c r="R27" s="9">
        <f>N20/N$9*O27</f>
        <v>1757145.8550123104</v>
      </c>
      <c r="S27" s="9">
        <f>O27*(N$7/N$9)</f>
        <v>0</v>
      </c>
      <c r="T27" s="9">
        <f>O27*N22/N23</f>
        <v>1757145.8550123104</v>
      </c>
      <c r="U27" s="9">
        <f>SUM(P27:T27)</f>
        <v>72042980.055504724</v>
      </c>
    </row>
    <row r="28" spans="1:21" x14ac:dyDescent="0.25">
      <c r="A28" s="85"/>
      <c r="M28" s="84" t="s">
        <v>51</v>
      </c>
      <c r="N28" s="84"/>
      <c r="O28" s="27">
        <f>SUM(P23:T23)</f>
        <v>80255474.81852524</v>
      </c>
      <c r="P28" s="9">
        <f>O28*(N18/N$23)</f>
        <v>56766067.554566629</v>
      </c>
      <c r="Q28" s="9">
        <f>O28*(N19/N$9)</f>
        <v>19574506.053298838</v>
      </c>
      <c r="R28" s="9">
        <f>O28*N20/N$9</f>
        <v>1957450.605329884</v>
      </c>
      <c r="S28" s="9">
        <f>O28*(N$7/N$9)</f>
        <v>0</v>
      </c>
      <c r="T28" s="9">
        <f>O28*N22/N23</f>
        <v>1957450.605329884</v>
      </c>
      <c r="U28" s="9">
        <f>SUM(P28:T28)</f>
        <v>80255474.81852524</v>
      </c>
    </row>
    <row r="29" spans="1:21" x14ac:dyDescent="0.25">
      <c r="A29" s="85"/>
      <c r="O29" s="1"/>
      <c r="P29" s="12"/>
      <c r="Q29" s="13"/>
      <c r="R29" s="8"/>
      <c r="T29" s="8"/>
    </row>
    <row r="30" spans="1:21" x14ac:dyDescent="0.25">
      <c r="A30" s="85"/>
      <c r="B30" s="18" t="s">
        <v>55</v>
      </c>
      <c r="C30" s="19"/>
      <c r="D30" s="19"/>
      <c r="E30" s="19"/>
      <c r="F30" s="19"/>
      <c r="G30" s="19"/>
      <c r="H30" s="19"/>
      <c r="I30" s="19"/>
      <c r="J30" s="19"/>
      <c r="K30" s="21" t="s">
        <v>59</v>
      </c>
      <c r="L30" s="20"/>
      <c r="M30" s="20"/>
      <c r="N30" s="20"/>
      <c r="O30" s="16" t="s">
        <v>58</v>
      </c>
      <c r="P30" s="15"/>
      <c r="Q30" s="15"/>
      <c r="R30" s="15"/>
      <c r="S30" s="15"/>
      <c r="T30" s="15"/>
      <c r="U30" s="15"/>
    </row>
    <row r="31" spans="1:21" ht="60" x14ac:dyDescent="0.25">
      <c r="A31" s="85"/>
      <c r="B31" s="2" t="s">
        <v>5</v>
      </c>
      <c r="C31" s="2" t="s">
        <v>0</v>
      </c>
      <c r="D31" s="2" t="s">
        <v>12</v>
      </c>
      <c r="E31" s="2" t="s">
        <v>10</v>
      </c>
      <c r="F31" s="2" t="s">
        <v>20</v>
      </c>
      <c r="G31" s="2" t="s">
        <v>21</v>
      </c>
      <c r="H31" s="2" t="s">
        <v>14</v>
      </c>
      <c r="I31" s="2" t="s">
        <v>15</v>
      </c>
      <c r="J31" s="2" t="s">
        <v>16</v>
      </c>
      <c r="K31" s="2" t="s">
        <v>19</v>
      </c>
      <c r="L31" s="2" t="s">
        <v>22</v>
      </c>
      <c r="M31" s="2" t="s">
        <v>60</v>
      </c>
      <c r="N31" s="2" t="s">
        <v>61</v>
      </c>
      <c r="O31" s="2" t="s">
        <v>44</v>
      </c>
      <c r="P31" s="2" t="s">
        <v>45</v>
      </c>
      <c r="Q31" s="2" t="s">
        <v>46</v>
      </c>
      <c r="R31" s="2" t="s">
        <v>47</v>
      </c>
      <c r="S31" s="2" t="s">
        <v>48</v>
      </c>
      <c r="T31" s="2" t="s">
        <v>49</v>
      </c>
      <c r="U31" s="11" t="s">
        <v>68</v>
      </c>
    </row>
    <row r="32" spans="1:21" x14ac:dyDescent="0.25">
      <c r="A32" s="85"/>
      <c r="B32" t="s">
        <v>1</v>
      </c>
      <c r="C32" t="s">
        <v>2</v>
      </c>
      <c r="D32">
        <v>237.5</v>
      </c>
      <c r="E32" s="4">
        <v>8.0500000000000002E-2</v>
      </c>
      <c r="F32" s="4">
        <v>29.3825</v>
      </c>
      <c r="G32" s="4">
        <v>2.415</v>
      </c>
      <c r="H32" s="55">
        <v>0</v>
      </c>
      <c r="I32" s="32">
        <v>3.81</v>
      </c>
      <c r="J32" s="32">
        <v>4.5999999999999996</v>
      </c>
      <c r="K32" s="33">
        <f>F32*I32*1000</f>
        <v>111947.32500000001</v>
      </c>
      <c r="L32" s="33">
        <f>K32/D32</f>
        <v>471.35715789473687</v>
      </c>
      <c r="M32" s="42">
        <f>F32*N32</f>
        <v>852.09249999999997</v>
      </c>
      <c r="N32" s="24">
        <v>29</v>
      </c>
      <c r="O32" s="9">
        <f>N32*K32</f>
        <v>3246472.4250000003</v>
      </c>
      <c r="P32" s="9">
        <f>P18/O18*O32</f>
        <v>3839748.8882142855</v>
      </c>
      <c r="Q32" s="9">
        <f>P32*H$49/H$53</f>
        <v>4386886.125101882</v>
      </c>
      <c r="R32" s="10">
        <f>Q32*H$49/H$57</f>
        <v>5011986.5738307126</v>
      </c>
      <c r="S32" s="9">
        <f>R32</f>
        <v>5011986.5738307126</v>
      </c>
      <c r="T32" s="9">
        <f>R32</f>
        <v>5011986.5738307126</v>
      </c>
      <c r="U32" s="9">
        <f>SUM(P32:T32)</f>
        <v>23262594.734808307</v>
      </c>
    </row>
    <row r="33" spans="1:21" x14ac:dyDescent="0.25">
      <c r="A33" s="85"/>
      <c r="B33" t="s">
        <v>3</v>
      </c>
      <c r="C33" t="s">
        <v>4</v>
      </c>
      <c r="D33">
        <v>1414.5</v>
      </c>
      <c r="E33" s="4">
        <v>0.53650000000000009</v>
      </c>
      <c r="F33" s="4">
        <v>195.82250000000002</v>
      </c>
      <c r="G33" s="4">
        <v>16.095000000000002</v>
      </c>
      <c r="H33" s="55">
        <v>0</v>
      </c>
      <c r="I33" s="32">
        <v>2.63</v>
      </c>
      <c r="J33" s="32">
        <v>2.73</v>
      </c>
      <c r="K33" s="33">
        <f t="shared" ref="K33:K36" si="18">F33*I33*1000</f>
        <v>515013.17500000005</v>
      </c>
      <c r="L33" s="33">
        <f t="shared" ref="L33:L34" si="19">K33/D33</f>
        <v>364.09556380346413</v>
      </c>
      <c r="M33" s="42">
        <f>F33*N33</f>
        <v>1958.2250000000001</v>
      </c>
      <c r="N33" s="24">
        <v>10</v>
      </c>
      <c r="O33" s="9">
        <f t="shared" ref="O33:O35" si="20">N33*K33</f>
        <v>5150131.75</v>
      </c>
      <c r="P33" s="9">
        <f>P$4/O$4*O33</f>
        <v>6091292.3544143736</v>
      </c>
      <c r="Q33" s="9">
        <f t="shared" ref="Q33:Q36" si="21">P33*H$49/H$53</f>
        <v>6959258.7149486337</v>
      </c>
      <c r="R33" s="10">
        <f>Q33*H$49/H$57</f>
        <v>7950904.183164061</v>
      </c>
      <c r="S33" s="9">
        <f>R33</f>
        <v>7950904.183164061</v>
      </c>
      <c r="T33" s="9">
        <f>R33</f>
        <v>7950904.183164061</v>
      </c>
      <c r="U33" s="9">
        <f>SUM(P33:T33)</f>
        <v>36903263.618855193</v>
      </c>
    </row>
    <row r="34" spans="1:21" x14ac:dyDescent="0.25">
      <c r="A34" s="85"/>
      <c r="B34" t="s">
        <v>6</v>
      </c>
      <c r="C34" t="s">
        <v>7</v>
      </c>
      <c r="D34">
        <v>3349.5</v>
      </c>
      <c r="E34" s="4">
        <v>1.06</v>
      </c>
      <c r="F34" s="4">
        <v>386.90000000000003</v>
      </c>
      <c r="G34" s="4">
        <v>31.8</v>
      </c>
      <c r="H34" s="55">
        <v>0</v>
      </c>
      <c r="I34" s="32">
        <v>1.69</v>
      </c>
      <c r="J34" s="32">
        <v>2.04</v>
      </c>
      <c r="K34" s="33">
        <f t="shared" si="18"/>
        <v>653861</v>
      </c>
      <c r="L34" s="33">
        <f t="shared" si="19"/>
        <v>195.21152410807582</v>
      </c>
      <c r="M34" s="42">
        <f>F34*N34</f>
        <v>386.90000000000003</v>
      </c>
      <c r="N34" s="24">
        <v>1</v>
      </c>
      <c r="O34" s="9">
        <f t="shared" si="20"/>
        <v>653861</v>
      </c>
      <c r="P34" s="9">
        <f>P$4/O$4*O34</f>
        <v>773350.800229477</v>
      </c>
      <c r="Q34" s="9">
        <f t="shared" si="21"/>
        <v>883547.85537574429</v>
      </c>
      <c r="R34" s="10">
        <f t="shared" ref="R34:R36" si="22">Q34*H$49/H$57</f>
        <v>1009447.2165897186</v>
      </c>
      <c r="S34" s="9">
        <f>R34</f>
        <v>1009447.2165897186</v>
      </c>
      <c r="T34" s="9">
        <f>R34</f>
        <v>1009447.2165897186</v>
      </c>
      <c r="U34" s="9">
        <f t="shared" ref="U34:U35" si="23">SUM(P34:T34)</f>
        <v>4685240.3053743765</v>
      </c>
    </row>
    <row r="35" spans="1:21" x14ac:dyDescent="0.25">
      <c r="A35" s="85"/>
      <c r="B35" t="s">
        <v>8</v>
      </c>
      <c r="C35" t="s">
        <v>9</v>
      </c>
      <c r="D35">
        <v>44999.5</v>
      </c>
      <c r="E35" s="4">
        <v>13.62</v>
      </c>
      <c r="F35" s="4">
        <v>4971.2999999999993</v>
      </c>
      <c r="G35" s="4">
        <v>408.59999999999997</v>
      </c>
      <c r="H35" s="55">
        <v>0</v>
      </c>
      <c r="I35" s="32">
        <v>1.39</v>
      </c>
      <c r="J35" s="32">
        <v>1.81</v>
      </c>
      <c r="K35" s="33">
        <f t="shared" si="18"/>
        <v>6910106.9999999981</v>
      </c>
      <c r="L35" s="33">
        <f>K35/D35</f>
        <v>153.55963955155053</v>
      </c>
      <c r="M35" s="42">
        <f t="shared" ref="M35:M36" si="24">F35*N35</f>
        <v>0</v>
      </c>
      <c r="N35" s="24">
        <v>0</v>
      </c>
      <c r="O35" s="9">
        <f t="shared" si="20"/>
        <v>0</v>
      </c>
      <c r="P35" s="9">
        <f t="shared" ref="P35" si="25">P$4/O$4*O35</f>
        <v>0</v>
      </c>
      <c r="Q35" s="9">
        <f t="shared" si="21"/>
        <v>0</v>
      </c>
      <c r="R35" s="10">
        <f t="shared" si="22"/>
        <v>0</v>
      </c>
      <c r="S35" s="9">
        <f>R35</f>
        <v>0</v>
      </c>
      <c r="T35" s="9">
        <f>R35</f>
        <v>0</v>
      </c>
      <c r="U35" s="9">
        <f t="shared" si="23"/>
        <v>0</v>
      </c>
    </row>
    <row r="36" spans="1:21" x14ac:dyDescent="0.25">
      <c r="A36" s="85"/>
      <c r="B36" t="s">
        <v>62</v>
      </c>
      <c r="C36" t="s">
        <v>63</v>
      </c>
      <c r="D36">
        <f>(250000-100001)/2</f>
        <v>74999.5</v>
      </c>
      <c r="E36" s="4">
        <f>E35*D$8/D$7</f>
        <v>22.700100890009889</v>
      </c>
      <c r="F36" s="4">
        <f>F35*D$8/D$7</f>
        <v>8285.5368248536088</v>
      </c>
      <c r="G36" s="4">
        <f>G35*D$8/D$7</f>
        <v>681.00302670029669</v>
      </c>
      <c r="H36" s="55">
        <v>0</v>
      </c>
      <c r="I36" s="4">
        <f>I35*D$8/D$7</f>
        <v>2.3166769630773674</v>
      </c>
      <c r="J36" s="4">
        <f>J35*D$8/D$7</f>
        <v>3.0166800742230468</v>
      </c>
      <c r="K36" s="33">
        <f t="shared" si="18"/>
        <v>19194912.288867552</v>
      </c>
      <c r="L36" s="33">
        <f>K36/D36</f>
        <v>255.93387007736789</v>
      </c>
      <c r="M36" s="42">
        <f t="shared" si="24"/>
        <v>8285.5368248536088</v>
      </c>
      <c r="N36" s="24">
        <v>1</v>
      </c>
      <c r="O36" s="9">
        <f>N36*K36</f>
        <v>19194912.288867552</v>
      </c>
      <c r="P36" s="9">
        <f>P$4/O$4*O36</f>
        <v>22702685.706794478</v>
      </c>
      <c r="Q36" s="9">
        <f t="shared" si="21"/>
        <v>25937658.901439976</v>
      </c>
      <c r="R36" s="10">
        <f t="shared" si="22"/>
        <v>29633593.046046689</v>
      </c>
      <c r="S36" s="9">
        <f>R36</f>
        <v>29633593.046046689</v>
      </c>
      <c r="T36" s="9">
        <f>R36</f>
        <v>29633593.046046689</v>
      </c>
      <c r="U36" s="9">
        <f>SUM(P36:T36)</f>
        <v>137541123.74637452</v>
      </c>
    </row>
    <row r="37" spans="1:21" x14ac:dyDescent="0.25">
      <c r="L37" s="1" t="s">
        <v>52</v>
      </c>
      <c r="M37" s="45">
        <f>SUM(M32:M35)</f>
        <v>3197.2175000000002</v>
      </c>
      <c r="N37">
        <f>SUM(N32:N36)</f>
        <v>41</v>
      </c>
      <c r="O37" s="10">
        <f>SUM(O32:O36)</f>
        <v>28245377.463867553</v>
      </c>
      <c r="P37" s="10">
        <f t="shared" ref="P37:T37" si="26">SUM(P32:P36)</f>
        <v>33407077.749652617</v>
      </c>
      <c r="Q37" s="10">
        <f t="shared" si="26"/>
        <v>38167351.596866235</v>
      </c>
      <c r="R37" s="10">
        <f t="shared" si="26"/>
        <v>43605931.019631177</v>
      </c>
      <c r="S37" s="10">
        <f t="shared" si="26"/>
        <v>43605931.019631177</v>
      </c>
      <c r="T37" s="10">
        <f t="shared" si="26"/>
        <v>43605931.019631177</v>
      </c>
      <c r="U37" s="9">
        <f>SUM(P37:T37)</f>
        <v>202392222.40541238</v>
      </c>
    </row>
    <row r="38" spans="1:21" x14ac:dyDescent="0.25">
      <c r="O38" s="10"/>
      <c r="P38" s="52">
        <v>2020</v>
      </c>
      <c r="Q38" s="52">
        <v>2021</v>
      </c>
      <c r="R38" s="52">
        <v>2022</v>
      </c>
      <c r="S38" s="52">
        <v>2023</v>
      </c>
      <c r="T38" s="52">
        <v>2024</v>
      </c>
      <c r="U38" s="10"/>
    </row>
    <row r="39" spans="1:21" x14ac:dyDescent="0.25">
      <c r="O39" s="10"/>
      <c r="P39" s="10"/>
      <c r="Q39" s="10"/>
      <c r="R39" s="10"/>
      <c r="S39" s="10"/>
      <c r="T39" s="10"/>
      <c r="U39" s="10"/>
    </row>
    <row r="40" spans="1:21" x14ac:dyDescent="0.25">
      <c r="O40" s="49" t="s">
        <v>52</v>
      </c>
      <c r="P40" s="50" t="s">
        <v>53</v>
      </c>
      <c r="Q40" s="50" t="s">
        <v>4</v>
      </c>
      <c r="R40" s="50" t="s">
        <v>7</v>
      </c>
      <c r="S40" s="50" t="s">
        <v>9</v>
      </c>
      <c r="T40" s="51" t="s">
        <v>63</v>
      </c>
      <c r="U40" s="51" t="s">
        <v>52</v>
      </c>
    </row>
    <row r="41" spans="1:21" x14ac:dyDescent="0.25">
      <c r="M41" s="84" t="s">
        <v>50</v>
      </c>
      <c r="N41" s="84"/>
      <c r="O41" s="27">
        <f>P37*5</f>
        <v>167035388.74826309</v>
      </c>
      <c r="P41" s="9">
        <f>O41*(N32/N$9)</f>
        <v>118146982.28535682</v>
      </c>
      <c r="Q41" s="9">
        <f>O41*(N33/N$9)</f>
        <v>40740338.719088554</v>
      </c>
      <c r="R41" s="9">
        <f>N34/N$9*O41</f>
        <v>4074033.8719088561</v>
      </c>
      <c r="S41" s="9">
        <f>O41*(N$7/N$9)</f>
        <v>0</v>
      </c>
      <c r="T41" s="9">
        <f>O41*N36/N37</f>
        <v>4074033.8719088561</v>
      </c>
      <c r="U41" s="9">
        <f>SUM(P41:T41)</f>
        <v>167035388.74826306</v>
      </c>
    </row>
    <row r="42" spans="1:21" x14ac:dyDescent="0.25">
      <c r="M42" s="84" t="s">
        <v>51</v>
      </c>
      <c r="N42" s="84"/>
      <c r="O42" s="27">
        <f>SUM(P37:T37)</f>
        <v>202392222.40541238</v>
      </c>
      <c r="P42" s="9">
        <f>O42*(N32/N$9)</f>
        <v>143155474.38431606</v>
      </c>
      <c r="Q42" s="9">
        <f>O42*(N33/N$9)</f>
        <v>49363956.68424692</v>
      </c>
      <c r="R42" s="9">
        <f>O42*N34/N$9</f>
        <v>4936395.668424692</v>
      </c>
      <c r="S42" s="9">
        <f>O42*(N$7/N$9)</f>
        <v>0</v>
      </c>
      <c r="T42" s="9">
        <f>O42*N36/N37</f>
        <v>4936395.668424692</v>
      </c>
      <c r="U42" s="9">
        <f>SUM(P42:T42)</f>
        <v>202392222.40541238</v>
      </c>
    </row>
    <row r="44" spans="1:21" x14ac:dyDescent="0.25">
      <c r="C44" t="s">
        <v>54</v>
      </c>
    </row>
    <row r="45" spans="1:21" x14ac:dyDescent="0.25">
      <c r="C45" t="s">
        <v>24</v>
      </c>
      <c r="D45" t="s">
        <v>25</v>
      </c>
      <c r="E45" t="s">
        <v>26</v>
      </c>
      <c r="F45" t="s">
        <v>27</v>
      </c>
      <c r="G45" t="s">
        <v>28</v>
      </c>
    </row>
    <row r="46" spans="1:21" x14ac:dyDescent="0.25">
      <c r="C46" t="s">
        <v>29</v>
      </c>
      <c r="D46" t="s">
        <v>30</v>
      </c>
      <c r="E46" t="s">
        <v>31</v>
      </c>
      <c r="F46" t="s">
        <v>32</v>
      </c>
      <c r="G46">
        <v>2.1053504354944002</v>
      </c>
    </row>
    <row r="47" spans="1:21" x14ac:dyDescent="0.25">
      <c r="C47" t="s">
        <v>29</v>
      </c>
      <c r="D47" t="s">
        <v>30</v>
      </c>
      <c r="E47" t="s">
        <v>31</v>
      </c>
      <c r="F47" t="s">
        <v>33</v>
      </c>
      <c r="G47">
        <v>0.44048950245062601</v>
      </c>
    </row>
    <row r="48" spans="1:21" x14ac:dyDescent="0.25">
      <c r="C48" t="s">
        <v>29</v>
      </c>
      <c r="D48" t="s">
        <v>30</v>
      </c>
      <c r="E48" t="s">
        <v>31</v>
      </c>
      <c r="F48" t="s">
        <v>34</v>
      </c>
      <c r="G48">
        <v>1.2534884144327301</v>
      </c>
    </row>
    <row r="49" spans="3:8" x14ac:dyDescent="0.25">
      <c r="C49" t="s">
        <v>29</v>
      </c>
      <c r="D49" t="s">
        <v>30</v>
      </c>
      <c r="E49" t="s">
        <v>31</v>
      </c>
      <c r="F49" t="s">
        <v>35</v>
      </c>
      <c r="G49">
        <v>1.63457528884312</v>
      </c>
      <c r="H49">
        <f>AVERAGE(G50:G53)</f>
        <v>1.9278940174319898</v>
      </c>
    </row>
    <row r="50" spans="3:8" x14ac:dyDescent="0.25">
      <c r="C50" t="s">
        <v>29</v>
      </c>
      <c r="D50" t="s">
        <v>30</v>
      </c>
      <c r="E50" t="s">
        <v>31</v>
      </c>
      <c r="F50" t="s">
        <v>36</v>
      </c>
      <c r="G50">
        <v>1.5550121803780701</v>
      </c>
    </row>
    <row r="51" spans="3:8" x14ac:dyDescent="0.25">
      <c r="C51" t="s">
        <v>29</v>
      </c>
      <c r="D51" t="s">
        <v>30</v>
      </c>
      <c r="E51" t="s">
        <v>31</v>
      </c>
      <c r="F51" t="s">
        <v>37</v>
      </c>
      <c r="G51">
        <v>2.8294588082256902</v>
      </c>
    </row>
    <row r="52" spans="3:8" x14ac:dyDescent="0.25">
      <c r="C52" t="s">
        <v>29</v>
      </c>
      <c r="D52" t="s">
        <v>30</v>
      </c>
      <c r="E52" t="s">
        <v>31</v>
      </c>
      <c r="F52" t="s">
        <v>38</v>
      </c>
      <c r="G52">
        <v>1.9496292339758301</v>
      </c>
    </row>
    <row r="53" spans="3:8" x14ac:dyDescent="0.25">
      <c r="C53" t="s">
        <v>29</v>
      </c>
      <c r="D53" t="s">
        <v>30</v>
      </c>
      <c r="E53" t="s">
        <v>31</v>
      </c>
      <c r="F53" t="s">
        <v>39</v>
      </c>
      <c r="G53">
        <v>1.3774758471483699</v>
      </c>
      <c r="H53">
        <f>AVERAGE(G54:G57)</f>
        <v>1.6874449664128299</v>
      </c>
    </row>
    <row r="54" spans="3:8" x14ac:dyDescent="0.25">
      <c r="C54" t="s">
        <v>29</v>
      </c>
      <c r="D54" t="s">
        <v>30</v>
      </c>
      <c r="E54" t="s">
        <v>31</v>
      </c>
      <c r="F54" t="s">
        <v>40</v>
      </c>
      <c r="G54">
        <v>1.5573162820779001</v>
      </c>
    </row>
    <row r="55" spans="3:8" x14ac:dyDescent="0.25">
      <c r="C55" t="s">
        <v>29</v>
      </c>
      <c r="D55" t="s">
        <v>30</v>
      </c>
      <c r="E55" t="s">
        <v>31</v>
      </c>
      <c r="F55" t="s">
        <v>41</v>
      </c>
      <c r="G55">
        <v>1.66934768701467</v>
      </c>
    </row>
    <row r="56" spans="3:8" x14ac:dyDescent="0.25">
      <c r="C56" t="s">
        <v>29</v>
      </c>
      <c r="D56" t="s">
        <v>30</v>
      </c>
      <c r="E56" t="s">
        <v>31</v>
      </c>
      <c r="F56" t="s">
        <v>42</v>
      </c>
      <c r="G56">
        <v>1.73122695084699</v>
      </c>
    </row>
    <row r="57" spans="3:8" x14ac:dyDescent="0.25">
      <c r="C57" t="s">
        <v>29</v>
      </c>
      <c r="D57" t="s">
        <v>30</v>
      </c>
      <c r="E57" t="s">
        <v>31</v>
      </c>
      <c r="F57" t="s">
        <v>43</v>
      </c>
      <c r="G57">
        <v>1.7918889457117599</v>
      </c>
      <c r="H57">
        <f>AVERAGE(G54:G57)</f>
        <v>1.6874449664128299</v>
      </c>
    </row>
  </sheetData>
  <mergeCells count="7">
    <mergeCell ref="M41:N41"/>
    <mergeCell ref="M42:N42"/>
    <mergeCell ref="A2:A36"/>
    <mergeCell ref="M13:N13"/>
    <mergeCell ref="M14:N14"/>
    <mergeCell ref="M27:N27"/>
    <mergeCell ref="M28:N2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8E4D-E8F4-4DB0-8855-E94BCC01CC19}">
  <dimension ref="C3:J42"/>
  <sheetViews>
    <sheetView workbookViewId="0">
      <selection activeCell="F37" sqref="F37"/>
    </sheetView>
  </sheetViews>
  <sheetFormatPr defaultRowHeight="15" x14ac:dyDescent="0.25"/>
  <cols>
    <col min="4" max="4" width="24.7109375" customWidth="1"/>
    <col min="5" max="5" width="16.140625" customWidth="1"/>
    <col min="6" max="6" width="16.42578125" bestFit="1" customWidth="1"/>
    <col min="7" max="7" width="16.28515625" bestFit="1" customWidth="1"/>
    <col min="8" max="8" width="15.42578125" bestFit="1" customWidth="1"/>
    <col min="9" max="9" width="15" customWidth="1"/>
    <col min="10" max="10" width="15.42578125" bestFit="1" customWidth="1"/>
  </cols>
  <sheetData>
    <row r="3" spans="3:10" x14ac:dyDescent="0.25">
      <c r="D3" s="88" t="s">
        <v>70</v>
      </c>
      <c r="E3" s="88"/>
      <c r="F3" s="88"/>
      <c r="G3" s="88"/>
      <c r="H3" s="88"/>
      <c r="I3" s="88"/>
      <c r="J3" s="88"/>
    </row>
    <row r="4" spans="3:10" x14ac:dyDescent="0.25">
      <c r="E4" s="6" t="s">
        <v>52</v>
      </c>
      <c r="F4" s="6" t="s">
        <v>53</v>
      </c>
      <c r="G4" s="6" t="s">
        <v>4</v>
      </c>
      <c r="H4" s="6" t="s">
        <v>7</v>
      </c>
      <c r="I4" s="6" t="s">
        <v>9</v>
      </c>
      <c r="J4" s="6" t="s">
        <v>63</v>
      </c>
    </row>
    <row r="5" spans="3:10" x14ac:dyDescent="0.25">
      <c r="C5" s="1" t="s">
        <v>71</v>
      </c>
      <c r="D5" t="s">
        <v>50</v>
      </c>
      <c r="E5" s="9">
        <v>27505133.242324255</v>
      </c>
      <c r="F5" s="9">
        <v>12943592.114034943</v>
      </c>
      <c r="G5" s="9">
        <v>9707694.0855262093</v>
      </c>
      <c r="H5" s="9">
        <v>1617949.0142543679</v>
      </c>
      <c r="I5" s="9">
        <v>3235898.0285087358</v>
      </c>
      <c r="J5" s="9">
        <v>0</v>
      </c>
    </row>
    <row r="6" spans="3:10" x14ac:dyDescent="0.25">
      <c r="D6" t="s">
        <v>51</v>
      </c>
      <c r="E6" s="9">
        <v>30640563.821885772</v>
      </c>
      <c r="F6" s="9">
        <v>14419088.85735801</v>
      </c>
      <c r="G6" s="9">
        <v>10814316.643018508</v>
      </c>
      <c r="H6" s="9">
        <v>1802386.1071697513</v>
      </c>
      <c r="I6" s="9">
        <v>3604772.2143395026</v>
      </c>
      <c r="J6" s="9">
        <v>0</v>
      </c>
    </row>
    <row r="8" spans="3:10" x14ac:dyDescent="0.25">
      <c r="E8" s="6" t="s">
        <v>52</v>
      </c>
      <c r="F8" s="6" t="s">
        <v>53</v>
      </c>
      <c r="G8" s="6" t="s">
        <v>4</v>
      </c>
      <c r="H8" s="6" t="s">
        <v>7</v>
      </c>
      <c r="I8" s="6" t="s">
        <v>9</v>
      </c>
      <c r="J8" s="6" t="s">
        <v>63</v>
      </c>
    </row>
    <row r="9" spans="3:10" x14ac:dyDescent="0.25">
      <c r="C9" s="1" t="s">
        <v>6</v>
      </c>
      <c r="D9" t="s">
        <v>50</v>
      </c>
      <c r="E9" s="9">
        <v>101171744.16354813</v>
      </c>
      <c r="F9" s="9">
        <v>47610232.547552057</v>
      </c>
      <c r="G9" s="9">
        <v>35707674.410664044</v>
      </c>
      <c r="H9" s="9">
        <v>5951279.0684440071</v>
      </c>
      <c r="I9" s="9">
        <v>11902558.136888014</v>
      </c>
      <c r="J9" s="9">
        <v>0</v>
      </c>
    </row>
    <row r="10" spans="3:10" x14ac:dyDescent="0.25">
      <c r="D10" t="s">
        <v>51</v>
      </c>
      <c r="E10" s="9">
        <v>112704754.29817408</v>
      </c>
      <c r="F10" s="9">
        <v>53037531.434434861</v>
      </c>
      <c r="G10" s="9">
        <v>39778148.575826153</v>
      </c>
      <c r="H10" s="9">
        <v>6629691.4293043576</v>
      </c>
      <c r="I10" s="9">
        <v>13259382.858608715</v>
      </c>
      <c r="J10" s="9">
        <v>0</v>
      </c>
    </row>
    <row r="12" spans="3:10" x14ac:dyDescent="0.25">
      <c r="E12" s="6" t="s">
        <v>52</v>
      </c>
      <c r="F12" s="6" t="s">
        <v>53</v>
      </c>
      <c r="G12" s="6" t="s">
        <v>4</v>
      </c>
      <c r="H12" s="6" t="s">
        <v>7</v>
      </c>
      <c r="I12" s="6" t="s">
        <v>9</v>
      </c>
      <c r="J12" s="6" t="s">
        <v>63</v>
      </c>
    </row>
    <row r="13" spans="3:10" x14ac:dyDescent="0.25">
      <c r="D13" t="s">
        <v>50</v>
      </c>
      <c r="E13" s="9">
        <v>166712256.90152809</v>
      </c>
      <c r="F13" s="9">
        <v>78452826.777189687</v>
      </c>
      <c r="G13" s="9">
        <v>58839620.082892269</v>
      </c>
      <c r="H13" s="9">
        <v>9806603.3471487109</v>
      </c>
      <c r="I13" s="9">
        <v>19613206.694297422</v>
      </c>
      <c r="J13" s="9">
        <v>0</v>
      </c>
    </row>
    <row r="14" spans="3:10" x14ac:dyDescent="0.25">
      <c r="C14" s="1" t="s">
        <v>72</v>
      </c>
      <c r="D14" t="s">
        <v>51</v>
      </c>
      <c r="E14" s="9">
        <v>185716517.07622248</v>
      </c>
      <c r="F14" s="9">
        <v>87396008.035869405</v>
      </c>
      <c r="G14" s="9">
        <v>65547006.026902057</v>
      </c>
      <c r="H14" s="9">
        <v>10924501.004483676</v>
      </c>
      <c r="I14" s="9">
        <v>21849002.008967351</v>
      </c>
      <c r="J14" s="9">
        <v>0</v>
      </c>
    </row>
    <row r="17" spans="3:10" x14ac:dyDescent="0.25">
      <c r="D17" s="89" t="s">
        <v>73</v>
      </c>
      <c r="E17" s="89"/>
      <c r="F17" s="89"/>
      <c r="G17" s="89"/>
      <c r="H17" s="89"/>
      <c r="I17" s="89"/>
      <c r="J17" s="89"/>
    </row>
    <row r="18" spans="3:10" x14ac:dyDescent="0.25">
      <c r="E18" s="11" t="s">
        <v>52</v>
      </c>
      <c r="F18" s="11" t="s">
        <v>53</v>
      </c>
      <c r="G18" s="11" t="s">
        <v>4</v>
      </c>
      <c r="H18" s="11" t="s">
        <v>7</v>
      </c>
      <c r="I18" s="11" t="s">
        <v>9</v>
      </c>
      <c r="J18" s="11" t="s">
        <v>63</v>
      </c>
    </row>
    <row r="19" spans="3:10" x14ac:dyDescent="0.25">
      <c r="D19" t="s">
        <v>50</v>
      </c>
      <c r="E19" s="9">
        <v>14038918.141349191</v>
      </c>
      <c r="F19" s="9">
        <v>9929966.4902225975</v>
      </c>
      <c r="G19" s="9">
        <v>3424126.3759388272</v>
      </c>
      <c r="H19" s="9">
        <v>342412.63759388274</v>
      </c>
      <c r="I19" s="9">
        <v>0</v>
      </c>
      <c r="J19" s="9">
        <v>342412.63759388268</v>
      </c>
    </row>
    <row r="20" spans="3:10" x14ac:dyDescent="0.25">
      <c r="C20" s="1" t="s">
        <v>71</v>
      </c>
      <c r="D20" t="s">
        <v>51</v>
      </c>
      <c r="E20" s="9">
        <v>15639275.894810755</v>
      </c>
      <c r="F20" s="9">
        <v>11061926.852427119</v>
      </c>
      <c r="G20" s="9">
        <v>3814457.5353196962</v>
      </c>
      <c r="H20" s="9">
        <v>381445.75353196962</v>
      </c>
      <c r="I20" s="9">
        <v>0</v>
      </c>
      <c r="J20" s="9">
        <v>381445.75353196962</v>
      </c>
    </row>
    <row r="22" spans="3:10" x14ac:dyDescent="0.25">
      <c r="E22" s="11" t="s">
        <v>52</v>
      </c>
      <c r="F22" s="11" t="s">
        <v>53</v>
      </c>
      <c r="G22" s="11" t="s">
        <v>4</v>
      </c>
      <c r="H22" s="11" t="s">
        <v>7</v>
      </c>
      <c r="I22" s="11" t="s">
        <v>9</v>
      </c>
      <c r="J22" s="11" t="s">
        <v>63</v>
      </c>
    </row>
    <row r="23" spans="3:10" x14ac:dyDescent="0.25">
      <c r="D23" t="s">
        <v>50</v>
      </c>
      <c r="E23" s="9">
        <v>72042980.055504724</v>
      </c>
      <c r="F23" s="9">
        <v>50957229.795356996</v>
      </c>
      <c r="G23" s="9">
        <v>17571458.550123103</v>
      </c>
      <c r="H23" s="9">
        <v>1757145.8550123104</v>
      </c>
      <c r="I23" s="9">
        <v>0</v>
      </c>
      <c r="J23" s="9">
        <v>1757145.8550123104</v>
      </c>
    </row>
    <row r="24" spans="3:10" x14ac:dyDescent="0.25">
      <c r="C24" s="1" t="s">
        <v>6</v>
      </c>
      <c r="D24" t="s">
        <v>51</v>
      </c>
      <c r="E24" s="9">
        <v>80255474.81852524</v>
      </c>
      <c r="F24" s="9">
        <v>56766067.554566629</v>
      </c>
      <c r="G24" s="9">
        <v>19574506.053298838</v>
      </c>
      <c r="H24" s="9">
        <v>1957450.605329884</v>
      </c>
      <c r="I24" s="9">
        <v>0</v>
      </c>
      <c r="J24" s="9">
        <v>1957450.605329884</v>
      </c>
    </row>
    <row r="26" spans="3:10" x14ac:dyDescent="0.25">
      <c r="E26" s="11" t="s">
        <v>52</v>
      </c>
      <c r="F26" s="11" t="s">
        <v>53</v>
      </c>
      <c r="G26" s="11" t="s">
        <v>4</v>
      </c>
      <c r="H26" s="11" t="s">
        <v>7</v>
      </c>
      <c r="I26" s="11" t="s">
        <v>9</v>
      </c>
      <c r="J26" s="11" t="s">
        <v>63</v>
      </c>
    </row>
    <row r="27" spans="3:10" x14ac:dyDescent="0.25">
      <c r="C27" s="1" t="s">
        <v>72</v>
      </c>
      <c r="D27" t="s">
        <v>50</v>
      </c>
      <c r="E27" s="7">
        <v>167035388.74826309</v>
      </c>
      <c r="F27" s="7">
        <v>118146982.28535682</v>
      </c>
      <c r="G27" s="7">
        <v>40740338.719088554</v>
      </c>
      <c r="H27" s="7">
        <v>4074033.8719088561</v>
      </c>
      <c r="I27" s="7">
        <v>0</v>
      </c>
      <c r="J27" s="7">
        <v>4074033.8719088561</v>
      </c>
    </row>
    <row r="28" spans="3:10" x14ac:dyDescent="0.25">
      <c r="D28" t="s">
        <v>51</v>
      </c>
      <c r="E28" s="7">
        <v>202392222.40541238</v>
      </c>
      <c r="F28" s="7">
        <v>143155474.38431606</v>
      </c>
      <c r="G28" s="7">
        <v>49363956.68424692</v>
      </c>
      <c r="H28" s="7">
        <v>4936395.668424692</v>
      </c>
      <c r="I28" s="7">
        <v>0</v>
      </c>
      <c r="J28" s="7">
        <v>4936395.668424692</v>
      </c>
    </row>
    <row r="31" spans="3:10" x14ac:dyDescent="0.25">
      <c r="D31" s="90" t="s">
        <v>74</v>
      </c>
      <c r="E31" s="90"/>
      <c r="F31" s="90"/>
      <c r="G31" s="90"/>
      <c r="H31" s="90"/>
      <c r="I31" s="90"/>
      <c r="J31" s="90"/>
    </row>
    <row r="32" spans="3:10" x14ac:dyDescent="0.25">
      <c r="E32" s="11" t="s">
        <v>52</v>
      </c>
      <c r="F32" s="11" t="s">
        <v>53</v>
      </c>
      <c r="G32" s="11" t="s">
        <v>4</v>
      </c>
      <c r="H32" s="11" t="s">
        <v>7</v>
      </c>
      <c r="I32" s="11" t="s">
        <v>9</v>
      </c>
      <c r="J32" s="11" t="s">
        <v>63</v>
      </c>
    </row>
    <row r="33" spans="3:10" x14ac:dyDescent="0.25">
      <c r="C33" s="1" t="s">
        <v>71</v>
      </c>
      <c r="D33" t="s">
        <v>50</v>
      </c>
      <c r="E33" s="10">
        <f t="shared" ref="E33:J34" si="0">E5+E19</f>
        <v>41544051.383673444</v>
      </c>
      <c r="F33" s="10">
        <f t="shared" si="0"/>
        <v>22873558.604257539</v>
      </c>
      <c r="G33" s="10">
        <f t="shared" si="0"/>
        <v>13131820.461465036</v>
      </c>
      <c r="H33" s="10">
        <f t="shared" si="0"/>
        <v>1960361.6518482505</v>
      </c>
      <c r="I33" s="10">
        <f t="shared" si="0"/>
        <v>3235898.0285087358</v>
      </c>
      <c r="J33" s="10">
        <f t="shared" si="0"/>
        <v>342412.63759388268</v>
      </c>
    </row>
    <row r="34" spans="3:10" x14ac:dyDescent="0.25">
      <c r="D34" t="s">
        <v>51</v>
      </c>
      <c r="E34" s="10">
        <f t="shared" si="0"/>
        <v>46279839.716696531</v>
      </c>
      <c r="F34" s="10">
        <f t="shared" si="0"/>
        <v>25481015.70978513</v>
      </c>
      <c r="G34" s="10">
        <f t="shared" si="0"/>
        <v>14628774.178338204</v>
      </c>
      <c r="H34" s="10">
        <f t="shared" si="0"/>
        <v>2183831.8607017212</v>
      </c>
      <c r="I34" s="10">
        <f t="shared" si="0"/>
        <v>3604772.2143395026</v>
      </c>
      <c r="J34" s="10">
        <f t="shared" si="0"/>
        <v>381445.75353196962</v>
      </c>
    </row>
    <row r="36" spans="3:10" x14ac:dyDescent="0.25">
      <c r="E36" s="11" t="s">
        <v>52</v>
      </c>
      <c r="F36" s="11" t="s">
        <v>53</v>
      </c>
      <c r="G36" s="11" t="s">
        <v>4</v>
      </c>
      <c r="H36" s="11" t="s">
        <v>7</v>
      </c>
      <c r="I36" s="11" t="s">
        <v>9</v>
      </c>
      <c r="J36" s="11" t="s">
        <v>63</v>
      </c>
    </row>
    <row r="37" spans="3:10" x14ac:dyDescent="0.25">
      <c r="C37" s="1" t="s">
        <v>6</v>
      </c>
      <c r="D37" t="s">
        <v>50</v>
      </c>
      <c r="E37" s="10">
        <f>E9+E23</f>
        <v>173214724.21905285</v>
      </c>
      <c r="F37" s="10">
        <f t="shared" ref="F37:J38" si="1">F9+F23</f>
        <v>98567462.342909053</v>
      </c>
      <c r="G37" s="10">
        <f t="shared" si="1"/>
        <v>53279132.960787147</v>
      </c>
      <c r="H37" s="10">
        <f t="shared" si="1"/>
        <v>7708424.9234563177</v>
      </c>
      <c r="I37" s="10">
        <f t="shared" si="1"/>
        <v>11902558.136888014</v>
      </c>
      <c r="J37" s="10">
        <f t="shared" si="1"/>
        <v>1757145.8550123104</v>
      </c>
    </row>
    <row r="38" spans="3:10" x14ac:dyDescent="0.25">
      <c r="D38" t="s">
        <v>51</v>
      </c>
      <c r="E38" s="10">
        <f>E10+E24</f>
        <v>192960229.11669934</v>
      </c>
      <c r="F38" s="10">
        <f t="shared" si="1"/>
        <v>109803598.98900148</v>
      </c>
      <c r="G38" s="10">
        <f t="shared" si="1"/>
        <v>59352654.629124992</v>
      </c>
      <c r="H38" s="10">
        <f t="shared" si="1"/>
        <v>8587142.0346342418</v>
      </c>
      <c r="I38" s="10">
        <f t="shared" si="1"/>
        <v>13259382.858608715</v>
      </c>
      <c r="J38" s="10">
        <f t="shared" si="1"/>
        <v>1957450.605329884</v>
      </c>
    </row>
    <row r="40" spans="3:10" x14ac:dyDescent="0.25">
      <c r="E40" s="11" t="s">
        <v>52</v>
      </c>
      <c r="F40" s="11" t="s">
        <v>53</v>
      </c>
      <c r="G40" s="11" t="s">
        <v>4</v>
      </c>
      <c r="H40" s="11" t="s">
        <v>7</v>
      </c>
      <c r="I40" s="11" t="s">
        <v>9</v>
      </c>
      <c r="J40" s="11" t="s">
        <v>63</v>
      </c>
    </row>
    <row r="41" spans="3:10" x14ac:dyDescent="0.25">
      <c r="D41" t="s">
        <v>50</v>
      </c>
      <c r="E41" s="9">
        <f>E13+E27</f>
        <v>333747645.64979118</v>
      </c>
      <c r="F41" s="9">
        <f t="shared" ref="F41:J41" si="2">F13+F27</f>
        <v>196599809.06254649</v>
      </c>
      <c r="G41" s="9">
        <f t="shared" si="2"/>
        <v>99579958.801980823</v>
      </c>
      <c r="H41" s="9">
        <f t="shared" si="2"/>
        <v>13880637.219057567</v>
      </c>
      <c r="I41" s="9">
        <f t="shared" si="2"/>
        <v>19613206.694297422</v>
      </c>
      <c r="J41" s="9">
        <f t="shared" si="2"/>
        <v>4074033.8719088561</v>
      </c>
    </row>
    <row r="42" spans="3:10" x14ac:dyDescent="0.25">
      <c r="C42" s="1" t="s">
        <v>72</v>
      </c>
      <c r="D42" t="s">
        <v>51</v>
      </c>
      <c r="E42" s="9">
        <f>E14+E28</f>
        <v>388108739.48163486</v>
      </c>
      <c r="F42" s="9">
        <f t="shared" ref="F42:J42" si="3">F14+F28</f>
        <v>230551482.42018545</v>
      </c>
      <c r="G42" s="9">
        <f t="shared" si="3"/>
        <v>114910962.71114898</v>
      </c>
      <c r="H42" s="9">
        <f t="shared" si="3"/>
        <v>15860896.672908368</v>
      </c>
      <c r="I42" s="9">
        <f t="shared" si="3"/>
        <v>21849002.008967351</v>
      </c>
      <c r="J42" s="9">
        <f t="shared" si="3"/>
        <v>4936395.668424692</v>
      </c>
    </row>
  </sheetData>
  <mergeCells count="3">
    <mergeCell ref="D3:J3"/>
    <mergeCell ref="D17:J17"/>
    <mergeCell ref="D31:J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D073-2847-4531-95C4-C01541CD211C}">
  <dimension ref="A1:AC30"/>
  <sheetViews>
    <sheetView tabSelected="1" workbookViewId="0">
      <selection activeCell="U6" sqref="U6"/>
    </sheetView>
  </sheetViews>
  <sheetFormatPr defaultRowHeight="15" x14ac:dyDescent="0.25"/>
  <cols>
    <col min="1" max="1" width="18.28515625" customWidth="1"/>
    <col min="2" max="2" width="15.5703125" customWidth="1"/>
    <col min="3" max="3" width="11.5703125" bestFit="1" customWidth="1"/>
    <col min="9" max="9" width="17.7109375" customWidth="1"/>
    <col min="10" max="10" width="21.42578125" customWidth="1"/>
    <col min="11" max="11" width="17.28515625" customWidth="1"/>
    <col min="12" max="12" width="16" customWidth="1"/>
    <col min="13" max="13" width="16.5703125" customWidth="1"/>
    <col min="14" max="14" width="17.140625" customWidth="1"/>
    <col min="15" max="15" width="17.85546875" customWidth="1"/>
    <col min="16" max="16" width="14.28515625" bestFit="1" customWidth="1"/>
    <col min="17" max="18" width="11.5703125" bestFit="1" customWidth="1"/>
    <col min="19" max="19" width="11.28515625" customWidth="1"/>
    <col min="20" max="20" width="10.140625" customWidth="1"/>
  </cols>
  <sheetData>
    <row r="1" spans="1:29" ht="45" x14ac:dyDescent="0.25">
      <c r="A1" s="2" t="s">
        <v>84</v>
      </c>
      <c r="B1" s="2" t="s">
        <v>85</v>
      </c>
      <c r="C1" s="2" t="s">
        <v>86</v>
      </c>
      <c r="D1" s="2" t="s">
        <v>87</v>
      </c>
      <c r="E1" s="2" t="s">
        <v>94</v>
      </c>
    </row>
    <row r="2" spans="1:29" x14ac:dyDescent="0.25">
      <c r="A2" t="s">
        <v>63</v>
      </c>
      <c r="B2">
        <v>2020</v>
      </c>
      <c r="C2">
        <v>233020</v>
      </c>
      <c r="D2">
        <v>81336</v>
      </c>
      <c r="E2" s="62">
        <f>C2/C$10</f>
        <v>0.65908454508684744</v>
      </c>
      <c r="I2" s="84" t="s">
        <v>81</v>
      </c>
      <c r="J2" s="84"/>
      <c r="K2" s="84"/>
      <c r="L2" s="84"/>
      <c r="M2" s="84"/>
      <c r="N2" s="84"/>
    </row>
    <row r="3" spans="1:29" x14ac:dyDescent="0.25">
      <c r="A3" t="s">
        <v>88</v>
      </c>
      <c r="B3">
        <v>2020</v>
      </c>
      <c r="C3">
        <v>1255</v>
      </c>
      <c r="D3">
        <v>102</v>
      </c>
      <c r="E3" s="62">
        <f t="shared" ref="E3:E9" si="0">C3/C$10</f>
        <v>3.5497000432752274E-3</v>
      </c>
      <c r="I3" s="1" t="s">
        <v>23</v>
      </c>
      <c r="J3" s="1" t="s">
        <v>71</v>
      </c>
      <c r="K3" s="1" t="s">
        <v>79</v>
      </c>
      <c r="L3" s="1" t="s">
        <v>6</v>
      </c>
      <c r="M3" s="1" t="s">
        <v>78</v>
      </c>
      <c r="N3" s="1" t="s">
        <v>77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100</v>
      </c>
      <c r="T3" s="1" t="s">
        <v>101</v>
      </c>
    </row>
    <row r="4" spans="1:29" x14ac:dyDescent="0.25">
      <c r="A4" t="s">
        <v>89</v>
      </c>
      <c r="B4">
        <v>2020</v>
      </c>
      <c r="C4">
        <v>3010</v>
      </c>
      <c r="D4">
        <v>1600</v>
      </c>
      <c r="E4" s="62">
        <f t="shared" si="0"/>
        <v>8.5136232113613031E-3</v>
      </c>
      <c r="I4" s="11" t="s">
        <v>80</v>
      </c>
      <c r="J4" s="7">
        <v>44.154309707896587</v>
      </c>
      <c r="K4" s="7">
        <f>(L4-J4)</f>
        <v>112.73882753423972</v>
      </c>
      <c r="L4" s="7">
        <v>156.89313724213631</v>
      </c>
      <c r="M4" s="7">
        <f>(N4-L4)</f>
        <v>126.81340253166226</v>
      </c>
      <c r="N4" s="7">
        <v>283.70653977379857</v>
      </c>
      <c r="O4">
        <f>C3+C9</f>
        <v>4662</v>
      </c>
      <c r="P4" s="9">
        <f>(J4/O4)*1000000</f>
        <v>9471.1089034527213</v>
      </c>
      <c r="Q4" s="9">
        <f>(L4/O4)*1000000</f>
        <v>33653.611592049834</v>
      </c>
      <c r="R4" s="9">
        <f>(N4/O4)*1000000</f>
        <v>60855.113636593429</v>
      </c>
      <c r="S4" s="10">
        <f>Q4-P4</f>
        <v>24182.502688597113</v>
      </c>
      <c r="T4" s="10">
        <f>R4-Q4</f>
        <v>27201.502044543595</v>
      </c>
      <c r="U4" s="1" t="s">
        <v>106</v>
      </c>
      <c r="W4" s="67"/>
      <c r="X4" s="67"/>
      <c r="Y4" s="67"/>
      <c r="Z4" s="67"/>
      <c r="AA4" s="67"/>
      <c r="AB4" s="67"/>
      <c r="AC4" s="67"/>
    </row>
    <row r="5" spans="1:29" x14ac:dyDescent="0.25">
      <c r="A5" t="s">
        <v>90</v>
      </c>
      <c r="B5">
        <v>2020</v>
      </c>
      <c r="C5">
        <v>11423</v>
      </c>
      <c r="D5">
        <v>4090</v>
      </c>
      <c r="E5" s="62">
        <f t="shared" si="0"/>
        <v>3.2309341509428623E-2</v>
      </c>
      <c r="I5" s="11" t="s">
        <v>4</v>
      </c>
      <c r="J5" s="7">
        <v>24.949830014315612</v>
      </c>
      <c r="K5" s="7">
        <f>(L5-J5)</f>
        <v>59.955172549118117</v>
      </c>
      <c r="L5" s="7">
        <v>84.905002563433726</v>
      </c>
      <c r="M5" s="7">
        <f>(N5-L5)</f>
        <v>62.401422996121227</v>
      </c>
      <c r="N5" s="7">
        <v>147.30642555955495</v>
      </c>
      <c r="O5">
        <f>C4+C8</f>
        <v>19825</v>
      </c>
      <c r="P5" s="9">
        <f>(J5/O5)*1000000</f>
        <v>1258.5034055140284</v>
      </c>
      <c r="Q5" s="9">
        <f>(L5/O5)*1000000</f>
        <v>4282.7239628465941</v>
      </c>
      <c r="R5" s="9">
        <f>(N5/O5)*1000000</f>
        <v>7430.3367243155089</v>
      </c>
      <c r="S5" s="10">
        <f t="shared" ref="S5:S15" si="1">Q5-P5</f>
        <v>3024.2205573325655</v>
      </c>
      <c r="T5" s="10">
        <f t="shared" ref="T5:T15" si="2">R5-Q5</f>
        <v>3147.6127614689149</v>
      </c>
      <c r="U5" s="7">
        <f>(SUM(O4:O6))/(SUM(L4:L6))</f>
        <v>178.33446599565679</v>
      </c>
      <c r="V5" s="7"/>
      <c r="X5" s="11"/>
      <c r="Y5" s="11"/>
      <c r="Z5" s="11"/>
      <c r="AA5" s="11"/>
      <c r="AB5" s="11"/>
      <c r="AC5" s="11"/>
    </row>
    <row r="6" spans="1:29" x14ac:dyDescent="0.25">
      <c r="A6" t="s">
        <v>7</v>
      </c>
      <c r="B6">
        <v>2020</v>
      </c>
      <c r="C6">
        <v>20826</v>
      </c>
      <c r="D6">
        <v>9033</v>
      </c>
      <c r="E6" s="62">
        <f t="shared" si="0"/>
        <v>5.8905221594621429E-2</v>
      </c>
      <c r="I6" s="11" t="s">
        <v>7</v>
      </c>
      <c r="J6" s="7">
        <v>3.6949913986068244</v>
      </c>
      <c r="K6" s="7">
        <f>(L6-J6)</f>
        <v>8.5968437595161848</v>
      </c>
      <c r="L6" s="7">
        <v>12.291835158123009</v>
      </c>
      <c r="M6" s="7">
        <f>(N6-L6)</f>
        <v>8.5444284339563499</v>
      </c>
      <c r="N6" s="7">
        <v>20.836263592079359</v>
      </c>
      <c r="O6">
        <f>C6</f>
        <v>20826</v>
      </c>
      <c r="P6" s="9">
        <f>(J6/O6)*1000000</f>
        <v>177.42203969109886</v>
      </c>
      <c r="Q6" s="9">
        <f>(L6/O6)*1000000</f>
        <v>590.21584356683991</v>
      </c>
      <c r="R6" s="9">
        <f>(N6/O6)*1000000</f>
        <v>1000.4928258945241</v>
      </c>
      <c r="S6" s="10">
        <f t="shared" si="1"/>
        <v>412.79380387574105</v>
      </c>
      <c r="T6" s="10">
        <f t="shared" si="2"/>
        <v>410.27698232768421</v>
      </c>
      <c r="U6" s="1" t="s">
        <v>107</v>
      </c>
      <c r="X6" s="10"/>
      <c r="Y6" s="10"/>
      <c r="Z6" s="10"/>
      <c r="AA6" s="10"/>
      <c r="AB6" s="10"/>
      <c r="AC6" s="10"/>
    </row>
    <row r="7" spans="1:29" x14ac:dyDescent="0.25">
      <c r="A7" t="s">
        <v>91</v>
      </c>
      <c r="B7">
        <v>2020</v>
      </c>
      <c r="C7">
        <v>63795</v>
      </c>
      <c r="D7">
        <v>22146</v>
      </c>
      <c r="E7" s="62">
        <f t="shared" si="0"/>
        <v>0.18044072849461607</v>
      </c>
      <c r="I7" s="11" t="s">
        <v>9</v>
      </c>
      <c r="J7" s="7">
        <v>6.0000419858763152</v>
      </c>
      <c r="K7" s="7">
        <f>(L7-J7)</f>
        <v>13.006632523021871</v>
      </c>
      <c r="L7" s="7">
        <v>19.006674508898186</v>
      </c>
      <c r="M7" s="7">
        <f>(N7-L7)</f>
        <v>11.521430671721131</v>
      </c>
      <c r="N7" s="7">
        <v>30.528105180619317</v>
      </c>
      <c r="O7">
        <f>C5+C7</f>
        <v>75218</v>
      </c>
      <c r="P7" s="9">
        <f>(J7/O7)*1000000</f>
        <v>79.768698793856728</v>
      </c>
      <c r="Q7" s="9">
        <f>(L7/O7)*1000000</f>
        <v>252.68784744207753</v>
      </c>
      <c r="R7" s="9">
        <f>(N7/O7)*1000000</f>
        <v>405.86169774015946</v>
      </c>
      <c r="S7" s="10">
        <f t="shared" si="1"/>
        <v>172.91914864822081</v>
      </c>
      <c r="T7" s="10">
        <f t="shared" si="2"/>
        <v>153.17385029808193</v>
      </c>
      <c r="U7" s="8">
        <f>(SUM(N7:N8))/(SUM(L7:L8))</f>
        <v>1.6563446023287836</v>
      </c>
      <c r="V7" s="8"/>
      <c r="X7" s="10"/>
      <c r="Y7" s="10"/>
      <c r="Z7" s="10"/>
      <c r="AA7" s="10"/>
      <c r="AB7" s="10"/>
      <c r="AC7" s="10"/>
    </row>
    <row r="8" spans="1:29" x14ac:dyDescent="0.25">
      <c r="A8" t="s">
        <v>92</v>
      </c>
      <c r="B8">
        <v>2020</v>
      </c>
      <c r="C8">
        <v>16815</v>
      </c>
      <c r="D8">
        <v>6784</v>
      </c>
      <c r="E8" s="62">
        <f t="shared" si="0"/>
        <v>4.7560323687388807E-2</v>
      </c>
      <c r="I8" s="11" t="s">
        <v>63</v>
      </c>
      <c r="J8" s="7">
        <v>0.69497040566866652</v>
      </c>
      <c r="K8" s="7">
        <f>(L8-J8)</f>
        <v>2.0935274980052494</v>
      </c>
      <c r="L8" s="7">
        <v>2.7884979036739161</v>
      </c>
      <c r="M8" s="7">
        <f>(N8-L8)</f>
        <v>2.783713098095784</v>
      </c>
      <c r="N8" s="7">
        <v>5.5722110017697002</v>
      </c>
      <c r="O8">
        <f>C2</f>
        <v>233020</v>
      </c>
      <c r="P8" s="9">
        <f>(J8/O8)*1000000</f>
        <v>2.982449599470717</v>
      </c>
      <c r="Q8" s="9">
        <f>(L8/O8)*1000000</f>
        <v>11.966774970706018</v>
      </c>
      <c r="R8" s="9">
        <f>(N8/O8)*1000000</f>
        <v>23.91301605771908</v>
      </c>
      <c r="S8" s="10">
        <f t="shared" si="1"/>
        <v>8.9843253712353004</v>
      </c>
      <c r="T8" s="10">
        <f t="shared" si="2"/>
        <v>11.946241087013062</v>
      </c>
    </row>
    <row r="9" spans="1:29" x14ac:dyDescent="0.25">
      <c r="A9" t="s">
        <v>93</v>
      </c>
      <c r="B9">
        <v>2020</v>
      </c>
      <c r="C9">
        <v>3407</v>
      </c>
      <c r="D9">
        <v>1252</v>
      </c>
      <c r="E9" s="62">
        <f t="shared" si="0"/>
        <v>9.6365163724611153E-3</v>
      </c>
      <c r="S9" s="10"/>
      <c r="T9" s="10"/>
      <c r="X9" s="11"/>
      <c r="Y9" s="11"/>
      <c r="Z9" s="11"/>
      <c r="AA9" s="11"/>
      <c r="AB9" s="11"/>
      <c r="AC9" s="11"/>
    </row>
    <row r="10" spans="1:29" x14ac:dyDescent="0.25">
      <c r="C10" s="60">
        <f>SUM(C2:C9)</f>
        <v>353551</v>
      </c>
      <c r="I10" s="1" t="s">
        <v>23</v>
      </c>
      <c r="J10" s="1" t="s">
        <v>71</v>
      </c>
      <c r="K10" s="1" t="s">
        <v>79</v>
      </c>
      <c r="L10" s="1" t="s">
        <v>6</v>
      </c>
      <c r="M10" s="1" t="s">
        <v>78</v>
      </c>
      <c r="N10" s="1" t="s">
        <v>77</v>
      </c>
      <c r="O10" t="s">
        <v>95</v>
      </c>
      <c r="P10" s="1" t="s">
        <v>96</v>
      </c>
      <c r="Q10" s="1" t="s">
        <v>97</v>
      </c>
      <c r="R10" s="1" t="s">
        <v>98</v>
      </c>
      <c r="S10" s="49" t="s">
        <v>100</v>
      </c>
      <c r="T10" s="1" t="s">
        <v>101</v>
      </c>
      <c r="V10" s="1"/>
      <c r="X10" s="10"/>
      <c r="Y10" s="10"/>
      <c r="Z10" s="10"/>
      <c r="AA10" s="10"/>
      <c r="AB10" s="10"/>
      <c r="AC10" s="10"/>
    </row>
    <row r="11" spans="1:29" x14ac:dyDescent="0.25">
      <c r="I11" s="11" t="s">
        <v>80</v>
      </c>
      <c r="J11" s="7">
        <v>22.873558604257539</v>
      </c>
      <c r="K11" s="7">
        <f>L11-J11</f>
        <v>75.693903738651514</v>
      </c>
      <c r="L11" s="7">
        <v>98.567462342909053</v>
      </c>
      <c r="M11" s="7">
        <f>N11-L11</f>
        <v>98.032346719637431</v>
      </c>
      <c r="N11" s="7">
        <v>196.59980906254648</v>
      </c>
      <c r="O11">
        <v>4662</v>
      </c>
      <c r="P11" s="9">
        <f>(J11/O11)*1000000/5</f>
        <v>981.27664539929378</v>
      </c>
      <c r="Q11" s="8">
        <f>((L11/O11)*1000000)/5</f>
        <v>4228.5483630591607</v>
      </c>
      <c r="R11" s="9">
        <f>(N11/O11)*1000000/5</f>
        <v>8434.1402429234859</v>
      </c>
      <c r="S11" s="10">
        <f t="shared" si="1"/>
        <v>3247.2717176598671</v>
      </c>
      <c r="T11" s="10">
        <f t="shared" si="2"/>
        <v>4205.5918798643252</v>
      </c>
      <c r="X11" s="10"/>
      <c r="Y11" s="10"/>
      <c r="Z11" s="10"/>
      <c r="AA11" s="10"/>
      <c r="AB11" s="10"/>
      <c r="AC11" s="10"/>
    </row>
    <row r="12" spans="1:29" x14ac:dyDescent="0.25">
      <c r="I12" s="11" t="s">
        <v>105</v>
      </c>
      <c r="J12" s="7">
        <v>13.131820461465036</v>
      </c>
      <c r="K12" s="7">
        <f t="shared" ref="K12:K15" si="3">L12-J12</f>
        <v>40.147312499322112</v>
      </c>
      <c r="L12" s="7">
        <v>53.279132960787145</v>
      </c>
      <c r="M12" s="7">
        <f t="shared" ref="M12:M15" si="4">N12-L12</f>
        <v>46.300825841193678</v>
      </c>
      <c r="N12" s="7">
        <v>99.579958801980823</v>
      </c>
      <c r="O12">
        <v>19825</v>
      </c>
      <c r="P12" s="9">
        <f t="shared" ref="P12:P15" si="5">(J12/O12)*1000000/5</f>
        <v>132.47738170456532</v>
      </c>
      <c r="Q12">
        <f>((L12/O12)*1000000)/5</f>
        <v>537.49440565737348</v>
      </c>
      <c r="R12" s="9">
        <f t="shared" ref="R12:R15" si="6">(N12/O12)*1000000/5</f>
        <v>1004.5897483175871</v>
      </c>
      <c r="S12" s="10">
        <f t="shared" si="1"/>
        <v>405.01702395280813</v>
      </c>
      <c r="T12" s="10">
        <f t="shared" si="2"/>
        <v>467.09534266021365</v>
      </c>
    </row>
    <row r="13" spans="1:29" x14ac:dyDescent="0.25">
      <c r="I13" s="11" t="s">
        <v>102</v>
      </c>
      <c r="J13" s="7">
        <v>1.9603616518482505</v>
      </c>
      <c r="K13" s="7">
        <f t="shared" si="3"/>
        <v>5.7480632716080668</v>
      </c>
      <c r="L13" s="7">
        <v>7.7084249234563176</v>
      </c>
      <c r="M13" s="7">
        <f t="shared" si="4"/>
        <v>6.1722122956012493</v>
      </c>
      <c r="N13" s="7">
        <v>13.880637219057567</v>
      </c>
      <c r="O13">
        <v>20826</v>
      </c>
      <c r="P13" s="9">
        <f t="shared" si="5"/>
        <v>18.826098644466057</v>
      </c>
      <c r="Q13">
        <f>((L13/O13)*1000000)/5</f>
        <v>74.026936746915553</v>
      </c>
      <c r="R13" s="9">
        <f t="shared" si="6"/>
        <v>133.30103926877524</v>
      </c>
      <c r="S13" s="10">
        <f t="shared" si="1"/>
        <v>55.200838102449495</v>
      </c>
      <c r="T13" s="10">
        <f t="shared" si="2"/>
        <v>59.274102521859689</v>
      </c>
      <c r="X13" s="11"/>
      <c r="Y13" s="11"/>
      <c r="Z13" s="11"/>
      <c r="AA13" s="11"/>
      <c r="AB13" s="11"/>
      <c r="AC13" s="11"/>
    </row>
    <row r="14" spans="1:29" x14ac:dyDescent="0.25">
      <c r="I14" s="11" t="s">
        <v>103</v>
      </c>
      <c r="J14" s="7">
        <v>3.235898028508736</v>
      </c>
      <c r="K14" s="7">
        <f t="shared" si="3"/>
        <v>8.6666601083792791</v>
      </c>
      <c r="L14" s="7">
        <v>11.902558136888015</v>
      </c>
      <c r="M14" s="7">
        <f t="shared" si="4"/>
        <v>7.7106485574094066</v>
      </c>
      <c r="N14" s="7">
        <v>19.613206694297421</v>
      </c>
      <c r="O14">
        <v>75218</v>
      </c>
      <c r="P14" s="9">
        <f t="shared" si="5"/>
        <v>8.6040522973456781</v>
      </c>
      <c r="Q14">
        <f>((L14/O14)*1000000)/5</f>
        <v>31.648164367273829</v>
      </c>
      <c r="R14" s="9">
        <f t="shared" si="6"/>
        <v>52.150300976621089</v>
      </c>
      <c r="S14" s="10">
        <f t="shared" si="1"/>
        <v>23.044112069928151</v>
      </c>
      <c r="T14" s="10">
        <f t="shared" si="2"/>
        <v>20.502136609347261</v>
      </c>
      <c r="X14" s="9"/>
      <c r="Y14" s="9"/>
      <c r="Z14" s="9"/>
      <c r="AA14" s="9"/>
      <c r="AB14" s="9"/>
      <c r="AC14" s="9"/>
    </row>
    <row r="15" spans="1:29" x14ac:dyDescent="0.25">
      <c r="I15" s="11" t="s">
        <v>104</v>
      </c>
      <c r="J15" s="7">
        <v>0.34241263759388268</v>
      </c>
      <c r="K15" s="7">
        <f t="shared" si="3"/>
        <v>1.4147332174184277</v>
      </c>
      <c r="L15" s="7">
        <v>1.7571458550123105</v>
      </c>
      <c r="M15" s="7">
        <f t="shared" si="4"/>
        <v>2.316888016896546</v>
      </c>
      <c r="N15" s="7">
        <v>4.0740338719088562</v>
      </c>
      <c r="O15">
        <v>233020</v>
      </c>
      <c r="P15" s="9">
        <f t="shared" si="5"/>
        <v>0.29389120040673133</v>
      </c>
      <c r="Q15">
        <f>((L15/O15)*1000000)/5</f>
        <v>1.5081502489162393</v>
      </c>
      <c r="R15" s="9">
        <f t="shared" si="6"/>
        <v>3.4967246347170677</v>
      </c>
      <c r="S15" s="10">
        <f t="shared" si="1"/>
        <v>1.2142590485095079</v>
      </c>
      <c r="T15" s="10">
        <f t="shared" si="2"/>
        <v>1.9885743858008285</v>
      </c>
      <c r="V15" s="1"/>
      <c r="X15" s="9"/>
      <c r="Y15" s="9"/>
      <c r="Z15" s="9"/>
      <c r="AA15" s="9"/>
      <c r="AB15" s="9"/>
      <c r="AC15" s="9"/>
    </row>
    <row r="19" spans="9:16" x14ac:dyDescent="0.25">
      <c r="J19" t="s">
        <v>99</v>
      </c>
    </row>
    <row r="20" spans="9:16" x14ac:dyDescent="0.25">
      <c r="K20" s="1" t="s">
        <v>52</v>
      </c>
      <c r="L20" s="1" t="s">
        <v>53</v>
      </c>
      <c r="M20" s="1" t="s">
        <v>4</v>
      </c>
      <c r="N20" s="1" t="s">
        <v>7</v>
      </c>
      <c r="O20" s="1" t="s">
        <v>9</v>
      </c>
      <c r="P20" s="1" t="s">
        <v>63</v>
      </c>
    </row>
    <row r="21" spans="9:16" x14ac:dyDescent="0.25">
      <c r="I21" t="s">
        <v>71</v>
      </c>
      <c r="J21" t="s">
        <v>50</v>
      </c>
      <c r="K21" s="9">
        <v>41544051.383673444</v>
      </c>
      <c r="L21" s="9">
        <v>22873558.604257539</v>
      </c>
      <c r="M21" s="9">
        <v>13131820.461465036</v>
      </c>
      <c r="N21" s="9">
        <v>1960361.6518482505</v>
      </c>
      <c r="O21" s="9">
        <v>3235898.0285087358</v>
      </c>
      <c r="P21" s="9">
        <v>342412.63759388268</v>
      </c>
    </row>
    <row r="22" spans="9:16" x14ac:dyDescent="0.25">
      <c r="J22" t="s">
        <v>51</v>
      </c>
      <c r="K22" s="9">
        <v>46279839.716696531</v>
      </c>
      <c r="L22" s="9">
        <v>25481015.70978513</v>
      </c>
      <c r="M22" s="9">
        <v>14628774.178338204</v>
      </c>
      <c r="N22" s="9">
        <v>2183831.8607017212</v>
      </c>
      <c r="O22" s="9">
        <v>3604772.2143395026</v>
      </c>
      <c r="P22" s="9">
        <v>381445.75353196962</v>
      </c>
    </row>
    <row r="24" spans="9:16" x14ac:dyDescent="0.25">
      <c r="K24" s="1" t="s">
        <v>52</v>
      </c>
      <c r="L24" s="1" t="s">
        <v>53</v>
      </c>
      <c r="M24" s="1" t="s">
        <v>4</v>
      </c>
      <c r="N24" s="1" t="s">
        <v>7</v>
      </c>
      <c r="O24" s="1" t="s">
        <v>9</v>
      </c>
      <c r="P24" s="1" t="s">
        <v>63</v>
      </c>
    </row>
    <row r="25" spans="9:16" x14ac:dyDescent="0.25">
      <c r="I25" t="s">
        <v>6</v>
      </c>
      <c r="J25" t="s">
        <v>50</v>
      </c>
      <c r="K25" s="9">
        <v>173214724.21905285</v>
      </c>
      <c r="L25" s="9">
        <v>98567462.342909053</v>
      </c>
      <c r="M25" s="9">
        <v>53279132.960787147</v>
      </c>
      <c r="N25" s="9">
        <v>7708424.9234563177</v>
      </c>
      <c r="O25" s="9">
        <v>11902558.136888014</v>
      </c>
      <c r="P25" s="9">
        <v>1757145.8550123104</v>
      </c>
    </row>
    <row r="26" spans="9:16" x14ac:dyDescent="0.25">
      <c r="J26" t="s">
        <v>51</v>
      </c>
      <c r="K26" s="9">
        <v>192960229.11669934</v>
      </c>
      <c r="L26" s="9">
        <v>109803598.98900148</v>
      </c>
      <c r="M26" s="9">
        <v>59352654.629124992</v>
      </c>
      <c r="N26" s="9">
        <v>8587142.0346342418</v>
      </c>
      <c r="O26" s="9">
        <v>13259382.858608715</v>
      </c>
      <c r="P26" s="9">
        <v>1957450.605329884</v>
      </c>
    </row>
    <row r="28" spans="9:16" x14ac:dyDescent="0.25">
      <c r="K28" s="1" t="s">
        <v>52</v>
      </c>
      <c r="L28" s="1" t="s">
        <v>53</v>
      </c>
      <c r="M28" s="1" t="s">
        <v>4</v>
      </c>
      <c r="N28" s="1" t="s">
        <v>7</v>
      </c>
      <c r="O28" s="1" t="s">
        <v>9</v>
      </c>
      <c r="P28" s="1" t="s">
        <v>63</v>
      </c>
    </row>
    <row r="29" spans="9:16" x14ac:dyDescent="0.25">
      <c r="J29" t="s">
        <v>50</v>
      </c>
      <c r="K29" s="9">
        <v>333747645.64979118</v>
      </c>
      <c r="L29" s="9">
        <v>196599809.06254649</v>
      </c>
      <c r="M29" s="9">
        <v>99579958.801980823</v>
      </c>
      <c r="N29" s="9">
        <v>13880637.219057567</v>
      </c>
      <c r="O29" s="9">
        <v>19613206.694297422</v>
      </c>
      <c r="P29" s="9">
        <v>4074033.8719088561</v>
      </c>
    </row>
    <row r="30" spans="9:16" x14ac:dyDescent="0.25">
      <c r="I30" t="s">
        <v>72</v>
      </c>
      <c r="J30" t="s">
        <v>51</v>
      </c>
      <c r="K30" s="9">
        <v>388108739.48163486</v>
      </c>
      <c r="L30" s="9">
        <v>230551482.42018545</v>
      </c>
      <c r="M30" s="9">
        <v>114910962.71114898</v>
      </c>
      <c r="N30" s="9">
        <v>15860896.672908368</v>
      </c>
      <c r="O30" s="9">
        <v>21849002.008967351</v>
      </c>
      <c r="P30" s="9">
        <v>4936395.668424692</v>
      </c>
    </row>
  </sheetData>
  <mergeCells count="1">
    <mergeCell ref="I2:N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83b16ef3-11cb-4d0b-b76b-8c334f41b01a">
      <UserInfo>
        <DisplayName>Karen Perry Stillerman</DisplayName>
        <AccountId>113</AccountId>
        <AccountType/>
      </UserInfo>
      <UserInfo>
        <DisplayName>Charlotte Kirk Baer</DisplayName>
        <AccountId>3532</AccountId>
        <AccountType/>
      </UserInfo>
      <UserInfo>
        <DisplayName>Ricardo Salvador</DisplayName>
        <AccountId>33</AccountId>
        <AccountType/>
      </UserInfo>
      <UserInfo>
        <DisplayName>Betty Ahrens</DisplayName>
        <AccountId>2646</AccountId>
        <AccountType/>
      </UserInfo>
      <UserInfo>
        <DisplayName>Abby Figueroa</DisplayName>
        <AccountId>145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78FFAF123CD47B05B450CB7353574" ma:contentTypeVersion="13" ma:contentTypeDescription="Create a new document." ma:contentTypeScope="" ma:versionID="79c7bb779c8b5ba0429184517ccb97d9">
  <xsd:schema xmlns:xsd="http://www.w3.org/2001/XMLSchema" xmlns:xs="http://www.w3.org/2001/XMLSchema" xmlns:p="http://schemas.microsoft.com/office/2006/metadata/properties" xmlns:ns1="http://schemas.microsoft.com/sharepoint/v3" xmlns:ns2="54541d2b-c2cb-45c7-a99e-6c045a85f82e" xmlns:ns3="83b16ef3-11cb-4d0b-b76b-8c334f41b01a" targetNamespace="http://schemas.microsoft.com/office/2006/metadata/properties" ma:root="true" ma:fieldsID="cb0f29ba5f2ab0cfcc9e09dddc865930" ns1:_="" ns2:_="" ns3:_="">
    <xsd:import namespace="http://schemas.microsoft.com/sharepoint/v3"/>
    <xsd:import namespace="54541d2b-c2cb-45c7-a99e-6c045a85f82e"/>
    <xsd:import namespace="83b16ef3-11cb-4d0b-b76b-8c334f41b0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41d2b-c2cb-45c7-a99e-6c045a85f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16ef3-11cb-4d0b-b76b-8c334f41b0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CC628D-48B1-4BFD-B15A-276C63B0C74A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54541d2b-c2cb-45c7-a99e-6c045a85f82e"/>
    <ds:schemaRef ds:uri="http://schemas.microsoft.com/sharepoint/v3"/>
    <ds:schemaRef ds:uri="83b16ef3-11cb-4d0b-b76b-8c334f41b01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E729A5F-D480-4856-9955-BFD15FDA68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5345DA-3D62-4EE6-ABD9-2C6760A37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541d2b-c2cb-45c7-a99e-6c045a85f82e"/>
    <ds:schemaRef ds:uri="83b16ef3-11cb-4d0b-b76b-8c334f41b0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from TangJensen</vt:lpstr>
      <vt:lpstr>RO Calculations</vt:lpstr>
      <vt:lpstr>IX Calculations</vt:lpstr>
      <vt:lpstr>Water treated</vt:lpstr>
      <vt:lpstr>Aggregate results</vt:lpstr>
      <vt:lpstr>RO Calcs no Cap</vt:lpstr>
      <vt:lpstr>IX Calcs no Cap</vt:lpstr>
      <vt:lpstr>Aggregate results no caps</vt:lpstr>
      <vt:lpstr>Pop served by popcat11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Boehm</dc:creator>
  <cp:lastModifiedBy>Rebecca Boehm</cp:lastModifiedBy>
  <dcterms:created xsi:type="dcterms:W3CDTF">2020-12-04T20:41:18Z</dcterms:created>
  <dcterms:modified xsi:type="dcterms:W3CDTF">2020-12-21T21:58:18Z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0x01010050478FFAF123CD47B05B450CB7353574</vt:lpwstr>
  </property>
</Properties>
</file>