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725" yWindow="75" windowWidth="18285" windowHeight="11760"/>
  </bookViews>
  <sheets>
    <sheet name="I. Title Page" sheetId="30" r:id="rId1"/>
    <sheet name="II. Summary" sheetId="47" r:id="rId2"/>
    <sheet name="III. Database" sheetId="32" r:id="rId3"/>
    <sheet name="IV. Database_2" sheetId="33" r:id="rId4"/>
    <sheet name="V. Database_Clean" sheetId="45" r:id="rId5"/>
    <sheet name="VI. Excluded Articles" sheetId="43" r:id="rId6"/>
    <sheet name="VII. Global" sheetId="36" r:id="rId7"/>
    <sheet name="VIII. Brazil" sheetId="41" r:id="rId8"/>
    <sheet name="IV. China" sheetId="39" r:id="rId9"/>
    <sheet name="X. DRC" sheetId="35" r:id="rId10"/>
    <sheet name="XI. India" sheetId="38" r:id="rId11"/>
    <sheet name="XII. Indonesia" sheetId="34" r:id="rId12"/>
    <sheet name="XIII. Mexico" sheetId="42" r:id="rId13"/>
    <sheet name="XIV. U.S." sheetId="40" r:id="rId14"/>
  </sheets>
  <externalReferences>
    <externalReference r:id="rId15"/>
  </externalReferences>
  <definedNames>
    <definedName name="_xlnm._FilterDatabase" localSheetId="2" hidden="1">'III. Database'!$A$4:$AM$81</definedName>
    <definedName name="_xlnm._FilterDatabase" localSheetId="3" hidden="1">'IV. Database_2'!$A$4:$BA$71</definedName>
    <definedName name="_xlnm.Print_Titles" localSheetId="3">'IV. Database_2'!$B:$C,'IV. Database_2'!$4:$4</definedName>
  </definedNames>
  <calcPr calcId="145621"/>
</workbook>
</file>

<file path=xl/calcChain.xml><?xml version="1.0" encoding="utf-8"?>
<calcChain xmlns="http://schemas.openxmlformats.org/spreadsheetml/2006/main">
  <c r="H8" i="47" l="1"/>
  <c r="G8" i="47"/>
  <c r="F8" i="47"/>
  <c r="E8" i="47"/>
  <c r="H7" i="47"/>
  <c r="G7" i="47"/>
  <c r="F7" i="47"/>
  <c r="E7" i="47"/>
  <c r="H12" i="47"/>
  <c r="E12" i="47"/>
  <c r="H11" i="47"/>
  <c r="G11" i="47"/>
  <c r="F11" i="47"/>
  <c r="E11" i="47"/>
  <c r="D11" i="47"/>
  <c r="C11" i="47"/>
  <c r="H6" i="47"/>
  <c r="G6" i="47"/>
  <c r="F6" i="47"/>
  <c r="E6" i="47"/>
  <c r="D6" i="47"/>
  <c r="C6" i="47"/>
  <c r="H9" i="47"/>
  <c r="G9" i="47"/>
  <c r="F9" i="47"/>
  <c r="E9" i="47"/>
  <c r="D9" i="47"/>
  <c r="C9" i="47"/>
  <c r="H10" i="47"/>
  <c r="G10" i="47"/>
  <c r="F10" i="47"/>
  <c r="E10" i="47"/>
  <c r="D10" i="47"/>
  <c r="C10" i="47"/>
  <c r="H5" i="47"/>
  <c r="G5" i="47"/>
  <c r="F5" i="47"/>
  <c r="E5" i="47"/>
  <c r="D14" i="47" l="1"/>
  <c r="C14" i="47"/>
  <c r="G14" i="47"/>
  <c r="F14" i="47"/>
  <c r="H14" i="47"/>
  <c r="H15" i="47" s="1"/>
  <c r="E14" i="47"/>
  <c r="E15" i="47" s="1"/>
  <c r="G30" i="41"/>
  <c r="H30" i="41"/>
  <c r="I30" i="41"/>
  <c r="J30" i="41"/>
  <c r="K30" i="41"/>
  <c r="L30" i="41"/>
  <c r="O30" i="41" s="1"/>
  <c r="P30" i="41" s="1"/>
  <c r="Q30" i="41" s="1"/>
  <c r="R30" i="41" s="1"/>
  <c r="S30" i="41" s="1"/>
  <c r="T30" i="41" s="1"/>
  <c r="U30" i="41" s="1"/>
  <c r="V30" i="41" s="1"/>
  <c r="W30" i="41" s="1"/>
  <c r="X30" i="41" s="1"/>
  <c r="Y30" i="41" s="1"/>
  <c r="Z30" i="41" s="1"/>
  <c r="AA30" i="41" s="1"/>
  <c r="AB30" i="41" s="1"/>
  <c r="AC30" i="41" s="1"/>
  <c r="AD30" i="41" s="1"/>
  <c r="AE30" i="41" s="1"/>
  <c r="AF30" i="41" s="1"/>
  <c r="AG30" i="41" s="1"/>
  <c r="AH30" i="41" s="1"/>
  <c r="AI30" i="41" s="1"/>
  <c r="AJ30" i="41" s="1"/>
  <c r="O31" i="41"/>
  <c r="O37" i="41"/>
  <c r="P37" i="41"/>
  <c r="Q37" i="41"/>
  <c r="R37" i="41"/>
  <c r="S37" i="41"/>
  <c r="T37" i="41"/>
  <c r="U37" i="41"/>
  <c r="V37" i="41"/>
  <c r="W37" i="41"/>
  <c r="X37" i="41"/>
  <c r="Y37" i="41"/>
  <c r="Z37" i="41"/>
  <c r="AA37" i="41"/>
  <c r="AB37" i="41"/>
  <c r="AC37" i="41"/>
  <c r="AD37" i="41"/>
  <c r="AE37" i="41"/>
  <c r="AF37" i="41"/>
  <c r="AG37" i="41"/>
  <c r="AH37" i="41"/>
  <c r="AI37" i="41"/>
  <c r="AJ37" i="41"/>
  <c r="B6" i="33"/>
  <c r="C6" i="33"/>
  <c r="D6" i="33"/>
  <c r="E6" i="33"/>
  <c r="F6" i="33"/>
  <c r="G6" i="33"/>
  <c r="H6" i="33"/>
  <c r="I6" i="33"/>
  <c r="J6" i="33"/>
  <c r="K6" i="33"/>
  <c r="L6" i="33"/>
  <c r="M6" i="33"/>
  <c r="N6" i="33"/>
  <c r="O6" i="33"/>
  <c r="P6" i="33"/>
  <c r="B7" i="33"/>
  <c r="C7" i="33"/>
  <c r="D7" i="33"/>
  <c r="E7" i="33"/>
  <c r="F7" i="33"/>
  <c r="G7" i="33"/>
  <c r="H7" i="33"/>
  <c r="I7" i="33"/>
  <c r="J7" i="33"/>
  <c r="K7" i="33"/>
  <c r="L7" i="33"/>
  <c r="M7" i="33"/>
  <c r="N7" i="33"/>
  <c r="O7" i="33"/>
  <c r="P7" i="33"/>
  <c r="B8" i="33"/>
  <c r="C8" i="33"/>
  <c r="D8" i="33"/>
  <c r="E8" i="33"/>
  <c r="F8" i="33"/>
  <c r="G8" i="33"/>
  <c r="H8" i="33"/>
  <c r="I8" i="33"/>
  <c r="J8" i="33"/>
  <c r="K8" i="33"/>
  <c r="L8" i="33"/>
  <c r="M8" i="33"/>
  <c r="N8" i="33"/>
  <c r="O8" i="33"/>
  <c r="P8" i="33"/>
  <c r="B9" i="33"/>
  <c r="C9" i="33"/>
  <c r="D9" i="33"/>
  <c r="E9" i="33"/>
  <c r="F9" i="33"/>
  <c r="G9" i="33"/>
  <c r="H9" i="33"/>
  <c r="I9" i="33"/>
  <c r="J9" i="33"/>
  <c r="K9" i="33"/>
  <c r="L9" i="33"/>
  <c r="M9" i="33"/>
  <c r="N9" i="33"/>
  <c r="O9" i="33"/>
  <c r="P9" i="33"/>
  <c r="B10" i="33"/>
  <c r="C10" i="33"/>
  <c r="D10" i="33"/>
  <c r="E10" i="33"/>
  <c r="F10" i="33"/>
  <c r="G10" i="33"/>
  <c r="H10" i="33"/>
  <c r="I10" i="33"/>
  <c r="J10" i="33"/>
  <c r="K10" i="33"/>
  <c r="L10" i="33"/>
  <c r="M10" i="33"/>
  <c r="N10" i="33"/>
  <c r="O10" i="33"/>
  <c r="P10" i="33"/>
  <c r="B11" i="33"/>
  <c r="C11" i="33"/>
  <c r="D11" i="33"/>
  <c r="E11" i="33"/>
  <c r="F11" i="33"/>
  <c r="G11" i="33"/>
  <c r="H11" i="33"/>
  <c r="I11" i="33"/>
  <c r="J11" i="33"/>
  <c r="K11" i="33"/>
  <c r="L11" i="33"/>
  <c r="M11" i="33"/>
  <c r="N11" i="33"/>
  <c r="O11" i="33"/>
  <c r="P11" i="33"/>
  <c r="B12" i="33"/>
  <c r="C12" i="33"/>
  <c r="D12" i="33"/>
  <c r="E12" i="33"/>
  <c r="F12" i="33"/>
  <c r="G12" i="33"/>
  <c r="H12" i="33"/>
  <c r="I12" i="33"/>
  <c r="J12" i="33"/>
  <c r="K12" i="33"/>
  <c r="L12" i="33"/>
  <c r="M12" i="33"/>
  <c r="N12" i="33"/>
  <c r="O12" i="33"/>
  <c r="P12" i="33"/>
  <c r="B13" i="33"/>
  <c r="C13" i="33"/>
  <c r="D13" i="33"/>
  <c r="E13" i="33"/>
  <c r="F13" i="33"/>
  <c r="G13" i="33"/>
  <c r="H13" i="33"/>
  <c r="I13" i="33"/>
  <c r="J13" i="33"/>
  <c r="K13" i="33"/>
  <c r="L13" i="33"/>
  <c r="M13" i="33"/>
  <c r="N13" i="33"/>
  <c r="O13" i="33"/>
  <c r="P13" i="33"/>
  <c r="B14" i="33"/>
  <c r="C14" i="33"/>
  <c r="D14" i="33"/>
  <c r="E14" i="33"/>
  <c r="F14" i="33"/>
  <c r="G14" i="33"/>
  <c r="H14" i="33"/>
  <c r="I14" i="33"/>
  <c r="J14" i="33"/>
  <c r="K14" i="33"/>
  <c r="L14" i="33"/>
  <c r="M14" i="33"/>
  <c r="N14" i="33"/>
  <c r="O14" i="33"/>
  <c r="P14" i="33"/>
  <c r="B15" i="33"/>
  <c r="C15" i="33"/>
  <c r="D15" i="33"/>
  <c r="E15" i="33"/>
  <c r="F15" i="33"/>
  <c r="G15" i="33"/>
  <c r="H15" i="33"/>
  <c r="I15" i="33"/>
  <c r="J15" i="33"/>
  <c r="K15" i="33"/>
  <c r="L15" i="33"/>
  <c r="M15" i="33"/>
  <c r="N15" i="33"/>
  <c r="O15" i="33"/>
  <c r="P15" i="33"/>
  <c r="B16" i="33"/>
  <c r="C16" i="33"/>
  <c r="D16" i="33"/>
  <c r="E16" i="33"/>
  <c r="F16" i="33"/>
  <c r="G16" i="33"/>
  <c r="H16" i="33"/>
  <c r="I16" i="33"/>
  <c r="J16" i="33"/>
  <c r="K16" i="33"/>
  <c r="L16" i="33"/>
  <c r="M16" i="33"/>
  <c r="N16" i="33"/>
  <c r="O16" i="33"/>
  <c r="P16" i="33"/>
  <c r="B17" i="33"/>
  <c r="C17" i="33"/>
  <c r="D17" i="33"/>
  <c r="E17" i="33"/>
  <c r="F17" i="33"/>
  <c r="G17" i="33"/>
  <c r="H17" i="33"/>
  <c r="I17" i="33"/>
  <c r="J17" i="33"/>
  <c r="K17" i="33"/>
  <c r="L17" i="33"/>
  <c r="M17" i="33"/>
  <c r="N17" i="33"/>
  <c r="O17" i="33"/>
  <c r="P17" i="33"/>
  <c r="B18" i="33"/>
  <c r="C18" i="33"/>
  <c r="D18" i="33"/>
  <c r="E18" i="33"/>
  <c r="F18" i="33"/>
  <c r="G18" i="33"/>
  <c r="H18" i="33"/>
  <c r="I18" i="33"/>
  <c r="J18" i="33"/>
  <c r="K18" i="33"/>
  <c r="L18" i="33"/>
  <c r="M18" i="33"/>
  <c r="N18" i="33"/>
  <c r="O18" i="33"/>
  <c r="P18" i="33"/>
  <c r="B19" i="33"/>
  <c r="C19" i="33"/>
  <c r="D19" i="33"/>
  <c r="E19" i="33"/>
  <c r="F19" i="33"/>
  <c r="G19" i="33"/>
  <c r="H19" i="33"/>
  <c r="I19" i="33"/>
  <c r="J19" i="33"/>
  <c r="K19" i="33"/>
  <c r="L19" i="33"/>
  <c r="M19" i="33"/>
  <c r="N19" i="33"/>
  <c r="O19" i="33"/>
  <c r="P19" i="33"/>
  <c r="B20" i="33"/>
  <c r="C20" i="33"/>
  <c r="D20" i="33"/>
  <c r="E20" i="33"/>
  <c r="F20" i="33"/>
  <c r="G20" i="33"/>
  <c r="H20" i="33"/>
  <c r="I20" i="33"/>
  <c r="J20" i="33"/>
  <c r="K20" i="33"/>
  <c r="L20" i="33"/>
  <c r="M20" i="33"/>
  <c r="N20" i="33"/>
  <c r="O20" i="33"/>
  <c r="P20" i="33"/>
  <c r="B21" i="33"/>
  <c r="C21" i="33"/>
  <c r="D21" i="33"/>
  <c r="E21" i="33"/>
  <c r="F21" i="33"/>
  <c r="G21" i="33"/>
  <c r="H21" i="33"/>
  <c r="I21" i="33"/>
  <c r="J21" i="33"/>
  <c r="K21" i="33"/>
  <c r="L21" i="33"/>
  <c r="M21" i="33"/>
  <c r="N21" i="33"/>
  <c r="O21" i="33"/>
  <c r="P21" i="33"/>
  <c r="B22" i="33"/>
  <c r="C22" i="33"/>
  <c r="D22" i="33"/>
  <c r="E22" i="33"/>
  <c r="F22" i="33"/>
  <c r="G22" i="33"/>
  <c r="H22" i="33"/>
  <c r="I22" i="33"/>
  <c r="J22" i="33"/>
  <c r="K22" i="33"/>
  <c r="L22" i="33"/>
  <c r="M22" i="33"/>
  <c r="N22" i="33"/>
  <c r="O22" i="33"/>
  <c r="P22" i="33"/>
  <c r="B23" i="33"/>
  <c r="C23" i="33"/>
  <c r="D23" i="33"/>
  <c r="E23" i="33"/>
  <c r="F23" i="33"/>
  <c r="G23" i="33"/>
  <c r="H23" i="33"/>
  <c r="I23" i="33"/>
  <c r="J23" i="33"/>
  <c r="K23" i="33"/>
  <c r="L23" i="33"/>
  <c r="M23" i="33"/>
  <c r="N23" i="33"/>
  <c r="O23" i="33"/>
  <c r="P23" i="33"/>
  <c r="B24" i="33"/>
  <c r="C24" i="33"/>
  <c r="D24" i="33"/>
  <c r="E24" i="33"/>
  <c r="F24" i="33"/>
  <c r="G24" i="33"/>
  <c r="H24" i="33"/>
  <c r="I24" i="33"/>
  <c r="J24" i="33"/>
  <c r="K24" i="33"/>
  <c r="L24" i="33"/>
  <c r="M24" i="33"/>
  <c r="N24" i="33"/>
  <c r="O24" i="33"/>
  <c r="P24" i="33"/>
  <c r="B25" i="33"/>
  <c r="C25" i="33"/>
  <c r="D25" i="33"/>
  <c r="E25" i="33"/>
  <c r="F25" i="33"/>
  <c r="G25" i="33"/>
  <c r="H25" i="33"/>
  <c r="I25" i="33"/>
  <c r="J25" i="33"/>
  <c r="K25" i="33"/>
  <c r="L25" i="33"/>
  <c r="M25" i="33"/>
  <c r="N25" i="33"/>
  <c r="O25" i="33"/>
  <c r="P25" i="33"/>
  <c r="B26" i="33"/>
  <c r="C26" i="33"/>
  <c r="D26" i="33"/>
  <c r="E26" i="33"/>
  <c r="F26" i="33"/>
  <c r="G26" i="33"/>
  <c r="H26" i="33"/>
  <c r="I26" i="33"/>
  <c r="J26" i="33"/>
  <c r="K26" i="33"/>
  <c r="L26" i="33"/>
  <c r="M26" i="33"/>
  <c r="N26" i="33"/>
  <c r="O26" i="33"/>
  <c r="P26" i="33"/>
  <c r="B27" i="33"/>
  <c r="C27" i="33"/>
  <c r="D27" i="33"/>
  <c r="E27" i="33"/>
  <c r="F27" i="33"/>
  <c r="G27" i="33"/>
  <c r="H27" i="33"/>
  <c r="I27" i="33"/>
  <c r="J27" i="33"/>
  <c r="K27" i="33"/>
  <c r="L27" i="33"/>
  <c r="M27" i="33"/>
  <c r="N27" i="33"/>
  <c r="O27" i="33"/>
  <c r="P27" i="33"/>
  <c r="B28" i="33"/>
  <c r="C28" i="33"/>
  <c r="D28" i="33"/>
  <c r="E28" i="33"/>
  <c r="F28" i="33"/>
  <c r="G28" i="33"/>
  <c r="H28" i="33"/>
  <c r="I28" i="33"/>
  <c r="J28" i="33"/>
  <c r="K28" i="33"/>
  <c r="L28" i="33"/>
  <c r="M28" i="33"/>
  <c r="N28" i="33"/>
  <c r="O28" i="33"/>
  <c r="P28" i="33"/>
  <c r="B29" i="33"/>
  <c r="C29" i="33"/>
  <c r="D29" i="33"/>
  <c r="E29" i="33"/>
  <c r="F29" i="33"/>
  <c r="G29" i="33"/>
  <c r="H29" i="33"/>
  <c r="I29" i="33"/>
  <c r="J29" i="33"/>
  <c r="K29" i="33"/>
  <c r="L29" i="33"/>
  <c r="M29" i="33"/>
  <c r="N29" i="33"/>
  <c r="O29" i="33"/>
  <c r="P29" i="33"/>
  <c r="B30" i="33"/>
  <c r="C30" i="33"/>
  <c r="D30" i="33"/>
  <c r="E30" i="33"/>
  <c r="F30" i="33"/>
  <c r="G30" i="33"/>
  <c r="H30" i="33"/>
  <c r="I30" i="33"/>
  <c r="J30" i="33"/>
  <c r="K30" i="33"/>
  <c r="L30" i="33"/>
  <c r="M30" i="33"/>
  <c r="N30" i="33"/>
  <c r="O30" i="33"/>
  <c r="P30" i="33"/>
  <c r="B31" i="33"/>
  <c r="C31" i="33"/>
  <c r="D31" i="33"/>
  <c r="E31" i="33"/>
  <c r="F31" i="33"/>
  <c r="G31" i="33"/>
  <c r="H31" i="33"/>
  <c r="I31" i="33"/>
  <c r="J31" i="33"/>
  <c r="K31" i="33"/>
  <c r="L31" i="33"/>
  <c r="M31" i="33"/>
  <c r="N31" i="33"/>
  <c r="O31" i="33"/>
  <c r="P31" i="33"/>
  <c r="B32" i="33"/>
  <c r="C32" i="33"/>
  <c r="D32" i="33"/>
  <c r="E32" i="33"/>
  <c r="F32" i="33"/>
  <c r="G32" i="33"/>
  <c r="H32" i="33"/>
  <c r="I32" i="33"/>
  <c r="J32" i="33"/>
  <c r="K32" i="33"/>
  <c r="L32" i="33"/>
  <c r="M32" i="33"/>
  <c r="N32" i="33"/>
  <c r="O32" i="33"/>
  <c r="P32" i="33"/>
  <c r="B33" i="33"/>
  <c r="C33" i="33"/>
  <c r="D33" i="33"/>
  <c r="E33" i="33"/>
  <c r="F33" i="33"/>
  <c r="G33" i="33"/>
  <c r="H33" i="33"/>
  <c r="I33" i="33"/>
  <c r="J33" i="33"/>
  <c r="K33" i="33"/>
  <c r="L33" i="33"/>
  <c r="M33" i="33"/>
  <c r="N33" i="33"/>
  <c r="O33" i="33"/>
  <c r="P33" i="33"/>
  <c r="B34" i="33"/>
  <c r="C34" i="33"/>
  <c r="D34" i="33"/>
  <c r="E34" i="33"/>
  <c r="F34" i="33"/>
  <c r="G34" i="33"/>
  <c r="H34" i="33"/>
  <c r="I34" i="33"/>
  <c r="J34" i="33"/>
  <c r="K34" i="33"/>
  <c r="L34" i="33"/>
  <c r="M34" i="33"/>
  <c r="N34" i="33"/>
  <c r="O34" i="33"/>
  <c r="P34" i="33"/>
  <c r="B35" i="33"/>
  <c r="C35" i="33"/>
  <c r="D35" i="33"/>
  <c r="E35" i="33"/>
  <c r="F35" i="33"/>
  <c r="G35" i="33"/>
  <c r="H35" i="33"/>
  <c r="I35" i="33"/>
  <c r="J35" i="33"/>
  <c r="K35" i="33"/>
  <c r="L35" i="33"/>
  <c r="M35" i="33"/>
  <c r="N35" i="33"/>
  <c r="O35" i="33"/>
  <c r="P35" i="33"/>
  <c r="B36" i="33"/>
  <c r="C36" i="33"/>
  <c r="D36" i="33"/>
  <c r="E36" i="33"/>
  <c r="F36" i="33"/>
  <c r="G36" i="33"/>
  <c r="H36" i="33"/>
  <c r="I36" i="33"/>
  <c r="J36" i="33"/>
  <c r="K36" i="33"/>
  <c r="L36" i="33"/>
  <c r="M36" i="33"/>
  <c r="N36" i="33"/>
  <c r="O36" i="33"/>
  <c r="P36" i="33"/>
  <c r="B37" i="33"/>
  <c r="C37" i="33"/>
  <c r="D37" i="33"/>
  <c r="E37" i="33"/>
  <c r="F37" i="33"/>
  <c r="G37" i="33"/>
  <c r="H37" i="33"/>
  <c r="I37" i="33"/>
  <c r="J37" i="33"/>
  <c r="K37" i="33"/>
  <c r="L37" i="33"/>
  <c r="M37" i="33"/>
  <c r="N37" i="33"/>
  <c r="O37" i="33"/>
  <c r="P37" i="33"/>
  <c r="B38" i="33"/>
  <c r="C38" i="33"/>
  <c r="D38" i="33"/>
  <c r="E38" i="33"/>
  <c r="F38" i="33"/>
  <c r="G38" i="33"/>
  <c r="H38" i="33"/>
  <c r="I38" i="33"/>
  <c r="J38" i="33"/>
  <c r="K38" i="33"/>
  <c r="L38" i="33"/>
  <c r="M38" i="33"/>
  <c r="N38" i="33"/>
  <c r="O38" i="33"/>
  <c r="P38" i="33"/>
  <c r="B39" i="33"/>
  <c r="C39" i="33"/>
  <c r="D39" i="33"/>
  <c r="E39" i="33"/>
  <c r="F39" i="33"/>
  <c r="G39" i="33"/>
  <c r="H39" i="33"/>
  <c r="I39" i="33"/>
  <c r="J39" i="33"/>
  <c r="K39" i="33"/>
  <c r="L39" i="33"/>
  <c r="M39" i="33"/>
  <c r="N39" i="33"/>
  <c r="O39" i="33"/>
  <c r="P39" i="33"/>
  <c r="B40" i="33"/>
  <c r="C40" i="33"/>
  <c r="D40" i="33"/>
  <c r="E40" i="33"/>
  <c r="F40" i="33"/>
  <c r="G40" i="33"/>
  <c r="H40" i="33"/>
  <c r="I40" i="33"/>
  <c r="J40" i="33"/>
  <c r="K40" i="33"/>
  <c r="L40" i="33"/>
  <c r="M40" i="33"/>
  <c r="N40" i="33"/>
  <c r="O40" i="33"/>
  <c r="P40" i="33"/>
  <c r="B41" i="33"/>
  <c r="C41" i="33"/>
  <c r="D41" i="33"/>
  <c r="E41" i="33"/>
  <c r="F41" i="33"/>
  <c r="G41" i="33"/>
  <c r="H41" i="33"/>
  <c r="I41" i="33"/>
  <c r="J41" i="33"/>
  <c r="K41" i="33"/>
  <c r="L41" i="33"/>
  <c r="M41" i="33"/>
  <c r="N41" i="33"/>
  <c r="O41" i="33"/>
  <c r="P41" i="33"/>
  <c r="B42" i="33"/>
  <c r="C42" i="33"/>
  <c r="D42" i="33"/>
  <c r="E42" i="33"/>
  <c r="F42" i="33"/>
  <c r="G42" i="33"/>
  <c r="H42" i="33"/>
  <c r="I42" i="33"/>
  <c r="J42" i="33"/>
  <c r="K42" i="33"/>
  <c r="L42" i="33"/>
  <c r="M42" i="33"/>
  <c r="N42" i="33"/>
  <c r="O42" i="33"/>
  <c r="P42" i="33"/>
  <c r="B43" i="33"/>
  <c r="C43" i="33"/>
  <c r="D43" i="33"/>
  <c r="E43" i="33"/>
  <c r="F43" i="33"/>
  <c r="G43" i="33"/>
  <c r="H43" i="33"/>
  <c r="I43" i="33"/>
  <c r="J43" i="33"/>
  <c r="K43" i="33"/>
  <c r="L43" i="33"/>
  <c r="M43" i="33"/>
  <c r="N43" i="33"/>
  <c r="O43" i="33"/>
  <c r="P43" i="33"/>
  <c r="B44" i="33"/>
  <c r="C44" i="33"/>
  <c r="D44" i="33"/>
  <c r="E44" i="33"/>
  <c r="F44" i="33"/>
  <c r="G44" i="33"/>
  <c r="H44" i="33"/>
  <c r="I44" i="33"/>
  <c r="J44" i="33"/>
  <c r="K44" i="33"/>
  <c r="L44" i="33"/>
  <c r="M44" i="33"/>
  <c r="N44" i="33"/>
  <c r="O44" i="33"/>
  <c r="P44" i="33"/>
  <c r="B45" i="33"/>
  <c r="C45" i="33"/>
  <c r="D45" i="33"/>
  <c r="E45" i="33"/>
  <c r="F45" i="33"/>
  <c r="G45" i="33"/>
  <c r="H45" i="33"/>
  <c r="I45" i="33"/>
  <c r="J45" i="33"/>
  <c r="K45" i="33"/>
  <c r="L45" i="33"/>
  <c r="M45" i="33"/>
  <c r="N45" i="33"/>
  <c r="O45" i="33"/>
  <c r="P45" i="33"/>
  <c r="B46" i="33"/>
  <c r="C46" i="33"/>
  <c r="D46" i="33"/>
  <c r="E46" i="33"/>
  <c r="F46" i="33"/>
  <c r="G46" i="33"/>
  <c r="H46" i="33"/>
  <c r="I46" i="33"/>
  <c r="J46" i="33"/>
  <c r="K46" i="33"/>
  <c r="L46" i="33"/>
  <c r="M46" i="33"/>
  <c r="N46" i="33"/>
  <c r="O46" i="33"/>
  <c r="P46" i="33"/>
  <c r="B47" i="33"/>
  <c r="C47" i="33"/>
  <c r="D47" i="33"/>
  <c r="E47" i="33"/>
  <c r="F47" i="33"/>
  <c r="G47" i="33"/>
  <c r="H47" i="33"/>
  <c r="I47" i="33"/>
  <c r="J47" i="33"/>
  <c r="K47" i="33"/>
  <c r="L47" i="33"/>
  <c r="M47" i="33"/>
  <c r="N47" i="33"/>
  <c r="O47" i="33"/>
  <c r="P47" i="33"/>
  <c r="B48" i="33"/>
  <c r="C48" i="33"/>
  <c r="D48" i="33"/>
  <c r="E48" i="33"/>
  <c r="F48" i="33"/>
  <c r="G48" i="33"/>
  <c r="H48" i="33"/>
  <c r="I48" i="33"/>
  <c r="J48" i="33"/>
  <c r="K48" i="33"/>
  <c r="L48" i="33"/>
  <c r="M48" i="33"/>
  <c r="N48" i="33"/>
  <c r="O48" i="33"/>
  <c r="P48" i="33"/>
  <c r="B49" i="33"/>
  <c r="C49" i="33"/>
  <c r="D49" i="33"/>
  <c r="E49" i="33"/>
  <c r="F49" i="33"/>
  <c r="G49" i="33"/>
  <c r="H49" i="33"/>
  <c r="I49" i="33"/>
  <c r="J49" i="33"/>
  <c r="K49" i="33"/>
  <c r="L49" i="33"/>
  <c r="M49" i="33"/>
  <c r="N49" i="33"/>
  <c r="O49" i="33"/>
  <c r="P49" i="33"/>
  <c r="B50" i="33"/>
  <c r="C50" i="33"/>
  <c r="D50" i="33"/>
  <c r="E50" i="33"/>
  <c r="F50" i="33"/>
  <c r="G50" i="33"/>
  <c r="H50" i="33"/>
  <c r="I50" i="33"/>
  <c r="J50" i="33"/>
  <c r="K50" i="33"/>
  <c r="L50" i="33"/>
  <c r="M50" i="33"/>
  <c r="N50" i="33"/>
  <c r="O50" i="33"/>
  <c r="P50" i="33"/>
  <c r="B51" i="33"/>
  <c r="C51" i="33"/>
  <c r="D51" i="33"/>
  <c r="E51" i="33"/>
  <c r="F51" i="33"/>
  <c r="G51" i="33"/>
  <c r="H51" i="33"/>
  <c r="I51" i="33"/>
  <c r="J51" i="33"/>
  <c r="K51" i="33"/>
  <c r="L51" i="33"/>
  <c r="M51" i="33"/>
  <c r="N51" i="33"/>
  <c r="O51" i="33"/>
  <c r="P51" i="33"/>
  <c r="B52" i="33"/>
  <c r="C52" i="33"/>
  <c r="D52" i="33"/>
  <c r="E52" i="33"/>
  <c r="F52" i="33"/>
  <c r="G52" i="33"/>
  <c r="H52" i="33"/>
  <c r="I52" i="33"/>
  <c r="J52" i="33"/>
  <c r="K52" i="33"/>
  <c r="L52" i="33"/>
  <c r="M52" i="33"/>
  <c r="N52" i="33"/>
  <c r="O52" i="33"/>
  <c r="P52" i="33"/>
  <c r="B53" i="33"/>
  <c r="C53" i="33"/>
  <c r="D53" i="33"/>
  <c r="E53" i="33"/>
  <c r="F53" i="33"/>
  <c r="G53" i="33"/>
  <c r="H53" i="33"/>
  <c r="I53" i="33"/>
  <c r="J53" i="33"/>
  <c r="K53" i="33"/>
  <c r="L53" i="33"/>
  <c r="M53" i="33"/>
  <c r="N53" i="33"/>
  <c r="O53" i="33"/>
  <c r="P53" i="33"/>
  <c r="B54" i="33"/>
  <c r="C54" i="33"/>
  <c r="D54" i="33"/>
  <c r="E54" i="33"/>
  <c r="F54" i="33"/>
  <c r="G54" i="33"/>
  <c r="H54" i="33"/>
  <c r="I54" i="33"/>
  <c r="J54" i="33"/>
  <c r="K54" i="33"/>
  <c r="L54" i="33"/>
  <c r="M54" i="33"/>
  <c r="N54" i="33"/>
  <c r="O54" i="33"/>
  <c r="P54" i="33"/>
  <c r="B55" i="33"/>
  <c r="C55" i="33"/>
  <c r="D55" i="33"/>
  <c r="E55" i="33"/>
  <c r="F55" i="33"/>
  <c r="G55" i="33"/>
  <c r="H55" i="33"/>
  <c r="I55" i="33"/>
  <c r="J55" i="33"/>
  <c r="K55" i="33"/>
  <c r="L55" i="33"/>
  <c r="M55" i="33"/>
  <c r="N55" i="33"/>
  <c r="O55" i="33"/>
  <c r="P55" i="33"/>
  <c r="B56" i="33"/>
  <c r="C56" i="33"/>
  <c r="D56" i="33"/>
  <c r="E56" i="33"/>
  <c r="F56" i="33"/>
  <c r="G56" i="33"/>
  <c r="H56" i="33"/>
  <c r="I56" i="33"/>
  <c r="J56" i="33"/>
  <c r="K56" i="33"/>
  <c r="L56" i="33"/>
  <c r="M56" i="33"/>
  <c r="N56" i="33"/>
  <c r="O56" i="33"/>
  <c r="P56" i="33"/>
  <c r="B57" i="33"/>
  <c r="C57" i="33"/>
  <c r="D57" i="33"/>
  <c r="E57" i="33"/>
  <c r="F57" i="33"/>
  <c r="G57" i="33"/>
  <c r="H57" i="33"/>
  <c r="I57" i="33"/>
  <c r="J57" i="33"/>
  <c r="K57" i="33"/>
  <c r="L57" i="33"/>
  <c r="M57" i="33"/>
  <c r="N57" i="33"/>
  <c r="O57" i="33"/>
  <c r="P57" i="33"/>
  <c r="B58" i="33"/>
  <c r="C58" i="33"/>
  <c r="D58" i="33"/>
  <c r="E58" i="33"/>
  <c r="F58" i="33"/>
  <c r="G58" i="33"/>
  <c r="H58" i="33"/>
  <c r="I58" i="33"/>
  <c r="J58" i="33"/>
  <c r="K58" i="33"/>
  <c r="L58" i="33"/>
  <c r="M58" i="33"/>
  <c r="N58" i="33"/>
  <c r="O58" i="33"/>
  <c r="P58" i="33"/>
  <c r="B59" i="33"/>
  <c r="C59" i="33"/>
  <c r="D59" i="33"/>
  <c r="E59" i="33"/>
  <c r="F59" i="33"/>
  <c r="G59" i="33"/>
  <c r="H59" i="33"/>
  <c r="I59" i="33"/>
  <c r="J59" i="33"/>
  <c r="K59" i="33"/>
  <c r="L59" i="33"/>
  <c r="M59" i="33"/>
  <c r="N59" i="33"/>
  <c r="O59" i="33"/>
  <c r="P59" i="33"/>
  <c r="B60" i="33"/>
  <c r="C60" i="33"/>
  <c r="D60" i="33"/>
  <c r="E60" i="33"/>
  <c r="F60" i="33"/>
  <c r="G60" i="33"/>
  <c r="H60" i="33"/>
  <c r="I60" i="33"/>
  <c r="J60" i="33"/>
  <c r="K60" i="33"/>
  <c r="L60" i="33"/>
  <c r="M60" i="33"/>
  <c r="N60" i="33"/>
  <c r="O60" i="33"/>
  <c r="P60" i="33"/>
  <c r="B61" i="33"/>
  <c r="C61" i="33"/>
  <c r="D61" i="33"/>
  <c r="E61" i="33"/>
  <c r="F61" i="33"/>
  <c r="G61" i="33"/>
  <c r="H61" i="33"/>
  <c r="I61" i="33"/>
  <c r="J61" i="33"/>
  <c r="K61" i="33"/>
  <c r="L61" i="33"/>
  <c r="M61" i="33"/>
  <c r="N61" i="33"/>
  <c r="O61" i="33"/>
  <c r="P61" i="33"/>
  <c r="B62" i="33"/>
  <c r="C62" i="33"/>
  <c r="D62" i="33"/>
  <c r="E62" i="33"/>
  <c r="F62" i="33"/>
  <c r="G62" i="33"/>
  <c r="H62" i="33"/>
  <c r="I62" i="33"/>
  <c r="J62" i="33"/>
  <c r="K62" i="33"/>
  <c r="L62" i="33"/>
  <c r="M62" i="33"/>
  <c r="N62" i="33"/>
  <c r="O62" i="33"/>
  <c r="P62" i="33"/>
  <c r="B63" i="33"/>
  <c r="C63" i="33"/>
  <c r="D63" i="33"/>
  <c r="E63" i="33"/>
  <c r="F63" i="33"/>
  <c r="G63" i="33"/>
  <c r="H63" i="33"/>
  <c r="I63" i="33"/>
  <c r="J63" i="33"/>
  <c r="K63" i="33"/>
  <c r="L63" i="33"/>
  <c r="M63" i="33"/>
  <c r="N63" i="33"/>
  <c r="O63" i="33"/>
  <c r="P63" i="33"/>
  <c r="B64" i="33"/>
  <c r="C64" i="33"/>
  <c r="D64" i="33"/>
  <c r="E64" i="33"/>
  <c r="F64" i="33"/>
  <c r="G64" i="33"/>
  <c r="H64" i="33"/>
  <c r="I64" i="33"/>
  <c r="J64" i="33"/>
  <c r="K64" i="33"/>
  <c r="L64" i="33"/>
  <c r="M64" i="33"/>
  <c r="N64" i="33"/>
  <c r="O64" i="33"/>
  <c r="P64" i="33"/>
  <c r="B65" i="33"/>
  <c r="C65" i="33"/>
  <c r="D65" i="33"/>
  <c r="E65" i="33"/>
  <c r="F65" i="33"/>
  <c r="G65" i="33"/>
  <c r="H65" i="33"/>
  <c r="I65" i="33"/>
  <c r="J65" i="33"/>
  <c r="K65" i="33"/>
  <c r="L65" i="33"/>
  <c r="M65" i="33"/>
  <c r="N65" i="33"/>
  <c r="O65" i="33"/>
  <c r="P65" i="33"/>
  <c r="B66" i="33"/>
  <c r="C66" i="33"/>
  <c r="D66" i="33"/>
  <c r="E66" i="33"/>
  <c r="F66" i="33"/>
  <c r="G66" i="33"/>
  <c r="H66" i="33"/>
  <c r="I66" i="33"/>
  <c r="J66" i="33"/>
  <c r="K66" i="33"/>
  <c r="L66" i="33"/>
  <c r="M66" i="33"/>
  <c r="N66" i="33"/>
  <c r="O66" i="33"/>
  <c r="P66" i="33"/>
  <c r="B67" i="33"/>
  <c r="C67" i="33"/>
  <c r="D67" i="33"/>
  <c r="E67" i="33"/>
  <c r="F67" i="33"/>
  <c r="G67" i="33"/>
  <c r="H67" i="33"/>
  <c r="I67" i="33"/>
  <c r="J67" i="33"/>
  <c r="K67" i="33"/>
  <c r="L67" i="33"/>
  <c r="M67" i="33"/>
  <c r="N67" i="33"/>
  <c r="O67" i="33"/>
  <c r="P67" i="33"/>
  <c r="B68" i="33"/>
  <c r="C68" i="33"/>
  <c r="D68" i="33"/>
  <c r="E68" i="33"/>
  <c r="F68" i="33"/>
  <c r="G68" i="33"/>
  <c r="H68" i="33"/>
  <c r="I68" i="33"/>
  <c r="J68" i="33"/>
  <c r="K68" i="33"/>
  <c r="L68" i="33"/>
  <c r="M68" i="33"/>
  <c r="N68" i="33"/>
  <c r="O68" i="33"/>
  <c r="P68" i="33"/>
  <c r="B69" i="33"/>
  <c r="C69" i="33"/>
  <c r="D69" i="33"/>
  <c r="E69" i="33"/>
  <c r="F69" i="33"/>
  <c r="G69" i="33"/>
  <c r="H69" i="33"/>
  <c r="I69" i="33"/>
  <c r="J69" i="33"/>
  <c r="K69" i="33"/>
  <c r="L69" i="33"/>
  <c r="M69" i="33"/>
  <c r="N69" i="33"/>
  <c r="O69" i="33"/>
  <c r="P69" i="33"/>
  <c r="B70" i="33"/>
  <c r="C70" i="33"/>
  <c r="D70" i="33"/>
  <c r="E70" i="33"/>
  <c r="F70" i="33"/>
  <c r="G70" i="33"/>
  <c r="H70" i="33"/>
  <c r="I70" i="33"/>
  <c r="J70" i="33"/>
  <c r="K70" i="33"/>
  <c r="L70" i="33"/>
  <c r="M70" i="33"/>
  <c r="N70" i="33"/>
  <c r="O70" i="33"/>
  <c r="P70" i="33"/>
  <c r="B71" i="33"/>
  <c r="C71" i="33"/>
  <c r="D71" i="33"/>
  <c r="E71" i="33"/>
  <c r="F71" i="33"/>
  <c r="G71" i="33"/>
  <c r="H71" i="33"/>
  <c r="I71" i="33"/>
  <c r="J71" i="33"/>
  <c r="K71" i="33"/>
  <c r="L71" i="33"/>
  <c r="M71" i="33"/>
  <c r="N71" i="33"/>
  <c r="O71" i="33"/>
  <c r="P71" i="33"/>
  <c r="B72" i="33"/>
  <c r="C72" i="33"/>
  <c r="D72" i="33"/>
  <c r="E72" i="33"/>
  <c r="F72" i="33"/>
  <c r="G72" i="33"/>
  <c r="H72" i="33"/>
  <c r="I72" i="33"/>
  <c r="J72" i="33"/>
  <c r="K72" i="33"/>
  <c r="L72" i="33"/>
  <c r="M72" i="33"/>
  <c r="N72" i="33"/>
  <c r="O72" i="33"/>
  <c r="P72" i="33"/>
  <c r="B73" i="33"/>
  <c r="C73" i="33"/>
  <c r="D73" i="33"/>
  <c r="E73" i="33"/>
  <c r="F73" i="33"/>
  <c r="G73" i="33"/>
  <c r="H73" i="33"/>
  <c r="I73" i="33"/>
  <c r="J73" i="33"/>
  <c r="K73" i="33"/>
  <c r="L73" i="33"/>
  <c r="M73" i="33"/>
  <c r="N73" i="33"/>
  <c r="O73" i="33"/>
  <c r="P73" i="33"/>
  <c r="B74" i="33"/>
  <c r="C74" i="33"/>
  <c r="D74" i="33"/>
  <c r="E74" i="33"/>
  <c r="F74" i="33"/>
  <c r="G74" i="33"/>
  <c r="H74" i="33"/>
  <c r="I74" i="33"/>
  <c r="J74" i="33"/>
  <c r="K74" i="33"/>
  <c r="L74" i="33"/>
  <c r="M74" i="33"/>
  <c r="N74" i="33"/>
  <c r="O74" i="33"/>
  <c r="P74" i="33"/>
  <c r="B75" i="33"/>
  <c r="C75" i="33"/>
  <c r="D75" i="33"/>
  <c r="E75" i="33"/>
  <c r="F75" i="33"/>
  <c r="G75" i="33"/>
  <c r="H75" i="33"/>
  <c r="I75" i="33"/>
  <c r="J75" i="33"/>
  <c r="K75" i="33"/>
  <c r="L75" i="33"/>
  <c r="M75" i="33"/>
  <c r="N75" i="33"/>
  <c r="O75" i="33"/>
  <c r="P75" i="33"/>
  <c r="B76" i="33"/>
  <c r="C76" i="33"/>
  <c r="D76" i="33"/>
  <c r="E76" i="33"/>
  <c r="F76" i="33"/>
  <c r="G76" i="33"/>
  <c r="H76" i="33"/>
  <c r="I76" i="33"/>
  <c r="J76" i="33"/>
  <c r="K76" i="33"/>
  <c r="L76" i="33"/>
  <c r="M76" i="33"/>
  <c r="N76" i="33"/>
  <c r="O76" i="33"/>
  <c r="P76" i="33"/>
  <c r="B77" i="33"/>
  <c r="C77" i="33"/>
  <c r="D77" i="33"/>
  <c r="E77" i="33"/>
  <c r="F77" i="33"/>
  <c r="G77" i="33"/>
  <c r="H77" i="33"/>
  <c r="I77" i="33"/>
  <c r="J77" i="33"/>
  <c r="K77" i="33"/>
  <c r="L77" i="33"/>
  <c r="M77" i="33"/>
  <c r="N77" i="33"/>
  <c r="O77" i="33"/>
  <c r="P77" i="33"/>
  <c r="B78" i="33"/>
  <c r="C78" i="33"/>
  <c r="D78" i="33"/>
  <c r="E78" i="33"/>
  <c r="F78" i="33"/>
  <c r="G78" i="33"/>
  <c r="H78" i="33"/>
  <c r="I78" i="33"/>
  <c r="J78" i="33"/>
  <c r="K78" i="33"/>
  <c r="L78" i="33"/>
  <c r="M78" i="33"/>
  <c r="N78" i="33"/>
  <c r="O78" i="33"/>
  <c r="P78" i="33"/>
  <c r="B79" i="33"/>
  <c r="C79" i="33"/>
  <c r="D79" i="33"/>
  <c r="E79" i="33"/>
  <c r="F79" i="33"/>
  <c r="G79" i="33"/>
  <c r="H79" i="33"/>
  <c r="I79" i="33"/>
  <c r="J79" i="33"/>
  <c r="K79" i="33"/>
  <c r="L79" i="33"/>
  <c r="M79" i="33"/>
  <c r="N79" i="33"/>
  <c r="O79" i="33"/>
  <c r="P79" i="33"/>
  <c r="B80" i="33"/>
  <c r="C80" i="33"/>
  <c r="D80" i="33"/>
  <c r="E80" i="33"/>
  <c r="F80" i="33"/>
  <c r="G80" i="33"/>
  <c r="H80" i="33"/>
  <c r="I80" i="33"/>
  <c r="J80" i="33"/>
  <c r="K80" i="33"/>
  <c r="L80" i="33"/>
  <c r="M80" i="33"/>
  <c r="N80" i="33"/>
  <c r="O80" i="33"/>
  <c r="P80" i="33"/>
  <c r="B81" i="33"/>
  <c r="C81" i="33"/>
  <c r="D81" i="33"/>
  <c r="E81" i="33"/>
  <c r="F81" i="33"/>
  <c r="G81" i="33"/>
  <c r="H81" i="33"/>
  <c r="I81" i="33"/>
  <c r="J81" i="33"/>
  <c r="K81" i="33"/>
  <c r="L81" i="33"/>
  <c r="M81" i="33"/>
  <c r="N81" i="33"/>
  <c r="O81" i="33"/>
  <c r="P81" i="33"/>
  <c r="B82" i="33"/>
  <c r="C82" i="33"/>
  <c r="D82" i="33"/>
  <c r="E82" i="33"/>
  <c r="F82" i="33"/>
  <c r="G82" i="33"/>
  <c r="H82" i="33"/>
  <c r="I82" i="33"/>
  <c r="J82" i="33"/>
  <c r="K82" i="33"/>
  <c r="L82" i="33"/>
  <c r="M82" i="33"/>
  <c r="N82" i="33"/>
  <c r="O82" i="33"/>
  <c r="P82" i="33"/>
  <c r="B83" i="33"/>
  <c r="C83" i="33"/>
  <c r="D83" i="33"/>
  <c r="E83" i="33"/>
  <c r="F83" i="33"/>
  <c r="G83" i="33"/>
  <c r="H83" i="33"/>
  <c r="I83" i="33"/>
  <c r="J83" i="33"/>
  <c r="K83" i="33"/>
  <c r="L83" i="33"/>
  <c r="M83" i="33"/>
  <c r="N83" i="33"/>
  <c r="O83" i="33"/>
  <c r="P83" i="33"/>
  <c r="B84" i="33"/>
  <c r="C84" i="33"/>
  <c r="D84" i="33"/>
  <c r="E84" i="33"/>
  <c r="F84" i="33"/>
  <c r="G84" i="33"/>
  <c r="H84" i="33"/>
  <c r="I84" i="33"/>
  <c r="J84" i="33"/>
  <c r="K84" i="33"/>
  <c r="L84" i="33"/>
  <c r="M84" i="33"/>
  <c r="N84" i="33"/>
  <c r="O84" i="33"/>
  <c r="P84" i="33"/>
  <c r="B85" i="33"/>
  <c r="C85" i="33"/>
  <c r="D85" i="33"/>
  <c r="E85" i="33"/>
  <c r="F85" i="33"/>
  <c r="G85" i="33"/>
  <c r="H85" i="33"/>
  <c r="I85" i="33"/>
  <c r="J85" i="33"/>
  <c r="K85" i="33"/>
  <c r="L85" i="33"/>
  <c r="M85" i="33"/>
  <c r="N85" i="33"/>
  <c r="O85" i="33"/>
  <c r="P85" i="33"/>
  <c r="B86" i="33"/>
  <c r="C86" i="33"/>
  <c r="D86" i="33"/>
  <c r="E86" i="33"/>
  <c r="F86" i="33"/>
  <c r="G86" i="33"/>
  <c r="H86" i="33"/>
  <c r="I86" i="33"/>
  <c r="J86" i="33"/>
  <c r="K86" i="33"/>
  <c r="L86" i="33"/>
  <c r="M86" i="33"/>
  <c r="N86" i="33"/>
  <c r="O86" i="33"/>
  <c r="P86" i="33"/>
  <c r="B87" i="33"/>
  <c r="C87" i="33"/>
  <c r="D87" i="33"/>
  <c r="E87" i="33"/>
  <c r="F87" i="33"/>
  <c r="G87" i="33"/>
  <c r="H87" i="33"/>
  <c r="I87" i="33"/>
  <c r="J87" i="33"/>
  <c r="K87" i="33"/>
  <c r="L87" i="33"/>
  <c r="M87" i="33"/>
  <c r="N87" i="33"/>
  <c r="O87" i="33"/>
  <c r="P87" i="33"/>
  <c r="B88" i="33"/>
  <c r="C88" i="33"/>
  <c r="D88" i="33"/>
  <c r="E88" i="33"/>
  <c r="F88" i="33"/>
  <c r="G88" i="33"/>
  <c r="H88" i="33"/>
  <c r="I88" i="33"/>
  <c r="J88" i="33"/>
  <c r="K88" i="33"/>
  <c r="L88" i="33"/>
  <c r="M88" i="33"/>
  <c r="N88" i="33"/>
  <c r="O88" i="33"/>
  <c r="P88" i="33"/>
  <c r="B89" i="33"/>
  <c r="C89" i="33"/>
  <c r="D89" i="33"/>
  <c r="E89" i="33"/>
  <c r="F89" i="33"/>
  <c r="G89" i="33"/>
  <c r="H89" i="33"/>
  <c r="I89" i="33"/>
  <c r="J89" i="33"/>
  <c r="K89" i="33"/>
  <c r="L89" i="33"/>
  <c r="M89" i="33"/>
  <c r="N89" i="33"/>
  <c r="O89" i="33"/>
  <c r="P89" i="33"/>
  <c r="B90" i="33"/>
  <c r="C90" i="33"/>
  <c r="D90" i="33"/>
  <c r="E90" i="33"/>
  <c r="F90" i="33"/>
  <c r="G90" i="33"/>
  <c r="H90" i="33"/>
  <c r="I90" i="33"/>
  <c r="J90" i="33"/>
  <c r="K90" i="33"/>
  <c r="L90" i="33"/>
  <c r="M90" i="33"/>
  <c r="N90" i="33"/>
  <c r="O90" i="33"/>
  <c r="P90" i="33"/>
  <c r="B91" i="33"/>
  <c r="C91" i="33"/>
  <c r="D91" i="33"/>
  <c r="E91" i="33"/>
  <c r="F91" i="33"/>
  <c r="G91" i="33"/>
  <c r="H91" i="33"/>
  <c r="I91" i="33"/>
  <c r="J91" i="33"/>
  <c r="K91" i="33"/>
  <c r="L91" i="33"/>
  <c r="M91" i="33"/>
  <c r="N91" i="33"/>
  <c r="O91" i="33"/>
  <c r="P91" i="33"/>
  <c r="B92" i="33"/>
  <c r="C92" i="33"/>
  <c r="D92" i="33"/>
  <c r="E92" i="33"/>
  <c r="F92" i="33"/>
  <c r="G92" i="33"/>
  <c r="H92" i="33"/>
  <c r="I92" i="33"/>
  <c r="J92" i="33"/>
  <c r="K92" i="33"/>
  <c r="L92" i="33"/>
  <c r="M92" i="33"/>
  <c r="N92" i="33"/>
  <c r="O92" i="33"/>
  <c r="P92" i="33"/>
  <c r="B93" i="33"/>
  <c r="C93" i="33"/>
  <c r="D93" i="33"/>
  <c r="E93" i="33"/>
  <c r="F93" i="33"/>
  <c r="G93" i="33"/>
  <c r="H93" i="33"/>
  <c r="I93" i="33"/>
  <c r="J93" i="33"/>
  <c r="K93" i="33"/>
  <c r="L93" i="33"/>
  <c r="M93" i="33"/>
  <c r="N93" i="33"/>
  <c r="O93" i="33"/>
  <c r="P93" i="33"/>
  <c r="B94" i="33"/>
  <c r="C94" i="33"/>
  <c r="D94" i="33"/>
  <c r="E94" i="33"/>
  <c r="F94" i="33"/>
  <c r="G94" i="33"/>
  <c r="H94" i="33"/>
  <c r="I94" i="33"/>
  <c r="J94" i="33"/>
  <c r="K94" i="33"/>
  <c r="L94" i="33"/>
  <c r="M94" i="33"/>
  <c r="N94" i="33"/>
  <c r="O94" i="33"/>
  <c r="P94" i="33"/>
  <c r="B95" i="33"/>
  <c r="C95" i="33"/>
  <c r="D95" i="33"/>
  <c r="E95" i="33"/>
  <c r="F95" i="33"/>
  <c r="G95" i="33"/>
  <c r="H95" i="33"/>
  <c r="I95" i="33"/>
  <c r="J95" i="33"/>
  <c r="K95" i="33"/>
  <c r="L95" i="33"/>
  <c r="M95" i="33"/>
  <c r="N95" i="33"/>
  <c r="O95" i="33"/>
  <c r="P95" i="33"/>
  <c r="B96" i="33"/>
  <c r="C96" i="33"/>
  <c r="D96" i="33"/>
  <c r="E96" i="33"/>
  <c r="F96" i="33"/>
  <c r="G96" i="33"/>
  <c r="H96" i="33"/>
  <c r="I96" i="33"/>
  <c r="J96" i="33"/>
  <c r="K96" i="33"/>
  <c r="L96" i="33"/>
  <c r="M96" i="33"/>
  <c r="N96" i="33"/>
  <c r="O96" i="33"/>
  <c r="P96" i="33"/>
  <c r="B97" i="33"/>
  <c r="C97" i="33"/>
  <c r="D97" i="33"/>
  <c r="E97" i="33"/>
  <c r="F97" i="33"/>
  <c r="G97" i="33"/>
  <c r="H97" i="33"/>
  <c r="I97" i="33"/>
  <c r="J97" i="33"/>
  <c r="K97" i="33"/>
  <c r="L97" i="33"/>
  <c r="M97" i="33"/>
  <c r="N97" i="33"/>
  <c r="O97" i="33"/>
  <c r="P97" i="33"/>
  <c r="B98" i="33"/>
  <c r="C98" i="33"/>
  <c r="D98" i="33"/>
  <c r="E98" i="33"/>
  <c r="F98" i="33"/>
  <c r="G98" i="33"/>
  <c r="H98" i="33"/>
  <c r="I98" i="33"/>
  <c r="J98" i="33"/>
  <c r="K98" i="33"/>
  <c r="L98" i="33"/>
  <c r="M98" i="33"/>
  <c r="N98" i="33"/>
  <c r="O98" i="33"/>
  <c r="P98" i="33"/>
  <c r="B99" i="33"/>
  <c r="C99" i="33"/>
  <c r="D99" i="33"/>
  <c r="E99" i="33"/>
  <c r="F99" i="33"/>
  <c r="G99" i="33"/>
  <c r="H99" i="33"/>
  <c r="I99" i="33"/>
  <c r="J99" i="33"/>
  <c r="K99" i="33"/>
  <c r="L99" i="33"/>
  <c r="M99" i="33"/>
  <c r="N99" i="33"/>
  <c r="O99" i="33"/>
  <c r="P99" i="33"/>
  <c r="B100" i="33"/>
  <c r="C100" i="33"/>
  <c r="D100" i="33"/>
  <c r="E100" i="33"/>
  <c r="F100" i="33"/>
  <c r="G100" i="33"/>
  <c r="H100" i="33"/>
  <c r="I100" i="33"/>
  <c r="J100" i="33"/>
  <c r="K100" i="33"/>
  <c r="L100" i="33"/>
  <c r="M100" i="33"/>
  <c r="N100" i="33"/>
  <c r="O100" i="33"/>
  <c r="P100" i="33"/>
  <c r="B101" i="33"/>
  <c r="C101" i="33"/>
  <c r="D101" i="33"/>
  <c r="E101" i="33"/>
  <c r="F101" i="33"/>
  <c r="G101" i="33"/>
  <c r="H101" i="33"/>
  <c r="I101" i="33"/>
  <c r="J101" i="33"/>
  <c r="K101" i="33"/>
  <c r="L101" i="33"/>
  <c r="M101" i="33"/>
  <c r="N101" i="33"/>
  <c r="O101" i="33"/>
  <c r="P101" i="33"/>
  <c r="B102" i="33"/>
  <c r="C102" i="33"/>
  <c r="D102" i="33"/>
  <c r="E102" i="33"/>
  <c r="F102" i="33"/>
  <c r="G102" i="33"/>
  <c r="H102" i="33"/>
  <c r="I102" i="33"/>
  <c r="J102" i="33"/>
  <c r="K102" i="33"/>
  <c r="L102" i="33"/>
  <c r="M102" i="33"/>
  <c r="N102" i="33"/>
  <c r="O102" i="33"/>
  <c r="P102" i="33"/>
  <c r="B103" i="33"/>
  <c r="C103" i="33"/>
  <c r="D103" i="33"/>
  <c r="E103" i="33"/>
  <c r="F103" i="33"/>
  <c r="G103" i="33"/>
  <c r="H103" i="33"/>
  <c r="I103" i="33"/>
  <c r="J103" i="33"/>
  <c r="K103" i="33"/>
  <c r="L103" i="33"/>
  <c r="M103" i="33"/>
  <c r="N103" i="33"/>
  <c r="O103" i="33"/>
  <c r="P103" i="33"/>
  <c r="B104" i="33"/>
  <c r="C104" i="33"/>
  <c r="D104" i="33"/>
  <c r="E104" i="33"/>
  <c r="F104" i="33"/>
  <c r="G104" i="33"/>
  <c r="H104" i="33"/>
  <c r="I104" i="33"/>
  <c r="J104" i="33"/>
  <c r="K104" i="33"/>
  <c r="L104" i="33"/>
  <c r="M104" i="33"/>
  <c r="N104" i="33"/>
  <c r="O104" i="33"/>
  <c r="P104" i="33"/>
  <c r="B105" i="33"/>
  <c r="C105" i="33"/>
  <c r="D105" i="33"/>
  <c r="E105" i="33"/>
  <c r="F105" i="33"/>
  <c r="G105" i="33"/>
  <c r="H105" i="33"/>
  <c r="I105" i="33"/>
  <c r="J105" i="33"/>
  <c r="K105" i="33"/>
  <c r="L105" i="33"/>
  <c r="M105" i="33"/>
  <c r="N105" i="33"/>
  <c r="O105" i="33"/>
  <c r="P105" i="33"/>
  <c r="B106" i="33"/>
  <c r="C106" i="33"/>
  <c r="D106" i="33"/>
  <c r="E106" i="33"/>
  <c r="F106" i="33"/>
  <c r="G106" i="33"/>
  <c r="H106" i="33"/>
  <c r="I106" i="33"/>
  <c r="J106" i="33"/>
  <c r="K106" i="33"/>
  <c r="L106" i="33"/>
  <c r="M106" i="33"/>
  <c r="N106" i="33"/>
  <c r="O106" i="33"/>
  <c r="P106" i="33"/>
  <c r="B107" i="33"/>
  <c r="C107" i="33"/>
  <c r="D107" i="33"/>
  <c r="E107" i="33"/>
  <c r="F107" i="33"/>
  <c r="G107" i="33"/>
  <c r="H107" i="33"/>
  <c r="I107" i="33"/>
  <c r="J107" i="33"/>
  <c r="K107" i="33"/>
  <c r="L107" i="33"/>
  <c r="M107" i="33"/>
  <c r="N107" i="33"/>
  <c r="O107" i="33"/>
  <c r="P107" i="33"/>
  <c r="B108" i="33"/>
  <c r="C108" i="33"/>
  <c r="D108" i="33"/>
  <c r="E108" i="33"/>
  <c r="F108" i="33"/>
  <c r="G108" i="33"/>
  <c r="H108" i="33"/>
  <c r="I108" i="33"/>
  <c r="J108" i="33"/>
  <c r="K108" i="33"/>
  <c r="L108" i="33"/>
  <c r="M108" i="33"/>
  <c r="N108" i="33"/>
  <c r="O108" i="33"/>
  <c r="P108" i="33"/>
  <c r="B109" i="33"/>
  <c r="C109" i="33"/>
  <c r="D109" i="33"/>
  <c r="E109" i="33"/>
  <c r="F109" i="33"/>
  <c r="G109" i="33"/>
  <c r="H109" i="33"/>
  <c r="I109" i="33"/>
  <c r="J109" i="33"/>
  <c r="K109" i="33"/>
  <c r="L109" i="33"/>
  <c r="M109" i="33"/>
  <c r="N109" i="33"/>
  <c r="O109" i="33"/>
  <c r="P109" i="33"/>
  <c r="B110" i="33"/>
  <c r="C110" i="33"/>
  <c r="D110" i="33"/>
  <c r="E110" i="33"/>
  <c r="F110" i="33"/>
  <c r="G110" i="33"/>
  <c r="H110" i="33"/>
  <c r="I110" i="33"/>
  <c r="J110" i="33"/>
  <c r="K110" i="33"/>
  <c r="L110" i="33"/>
  <c r="M110" i="33"/>
  <c r="N110" i="33"/>
  <c r="O110" i="33"/>
  <c r="P110" i="33"/>
  <c r="B111" i="33"/>
  <c r="C111" i="33"/>
  <c r="D111" i="33"/>
  <c r="E111" i="33"/>
  <c r="F111" i="33"/>
  <c r="G111" i="33"/>
  <c r="H111" i="33"/>
  <c r="I111" i="33"/>
  <c r="J111" i="33"/>
  <c r="K111" i="33"/>
  <c r="L111" i="33"/>
  <c r="M111" i="33"/>
  <c r="N111" i="33"/>
  <c r="O111" i="33"/>
  <c r="P111" i="33"/>
  <c r="B112" i="33"/>
  <c r="C112" i="33"/>
  <c r="D112" i="33"/>
  <c r="E112" i="33"/>
  <c r="F112" i="33"/>
  <c r="G112" i="33"/>
  <c r="H112" i="33"/>
  <c r="I112" i="33"/>
  <c r="J112" i="33"/>
  <c r="K112" i="33"/>
  <c r="L112" i="33"/>
  <c r="M112" i="33"/>
  <c r="N112" i="33"/>
  <c r="O112" i="33"/>
  <c r="P112" i="33"/>
  <c r="B113" i="33"/>
  <c r="C113" i="33"/>
  <c r="D113" i="33"/>
  <c r="E113" i="33"/>
  <c r="F113" i="33"/>
  <c r="G113" i="33"/>
  <c r="H113" i="33"/>
  <c r="I113" i="33"/>
  <c r="J113" i="33"/>
  <c r="K113" i="33"/>
  <c r="L113" i="33"/>
  <c r="M113" i="33"/>
  <c r="N113" i="33"/>
  <c r="O113" i="33"/>
  <c r="P113" i="33"/>
  <c r="B114" i="33"/>
  <c r="C114" i="33"/>
  <c r="D114" i="33"/>
  <c r="E114" i="33"/>
  <c r="F114" i="33"/>
  <c r="G114" i="33"/>
  <c r="H114" i="33"/>
  <c r="I114" i="33"/>
  <c r="J114" i="33"/>
  <c r="K114" i="33"/>
  <c r="L114" i="33"/>
  <c r="M114" i="33"/>
  <c r="N114" i="33"/>
  <c r="O114" i="33"/>
  <c r="P114" i="33"/>
  <c r="B115" i="33"/>
  <c r="C115" i="33"/>
  <c r="D115" i="33"/>
  <c r="E115" i="33"/>
  <c r="F115" i="33"/>
  <c r="G115" i="33"/>
  <c r="H115" i="33"/>
  <c r="I115" i="33"/>
  <c r="J115" i="33"/>
  <c r="K115" i="33"/>
  <c r="L115" i="33"/>
  <c r="M115" i="33"/>
  <c r="N115" i="33"/>
  <c r="O115" i="33"/>
  <c r="P115" i="33"/>
  <c r="B116" i="33"/>
  <c r="C116" i="33"/>
  <c r="D116" i="33"/>
  <c r="E116" i="33"/>
  <c r="F116" i="33"/>
  <c r="G116" i="33"/>
  <c r="H116" i="33"/>
  <c r="I116" i="33"/>
  <c r="J116" i="33"/>
  <c r="K116" i="33"/>
  <c r="L116" i="33"/>
  <c r="M116" i="33"/>
  <c r="N116" i="33"/>
  <c r="O116" i="33"/>
  <c r="P116" i="33"/>
  <c r="B117" i="33"/>
  <c r="C117" i="33"/>
  <c r="D117" i="33"/>
  <c r="E117" i="33"/>
  <c r="F117" i="33"/>
  <c r="G117" i="33"/>
  <c r="H117" i="33"/>
  <c r="I117" i="33"/>
  <c r="J117" i="33"/>
  <c r="K117" i="33"/>
  <c r="L117" i="33"/>
  <c r="M117" i="33"/>
  <c r="N117" i="33"/>
  <c r="O117" i="33"/>
  <c r="P117" i="33"/>
  <c r="B118" i="33"/>
  <c r="C118" i="33"/>
  <c r="D118" i="33"/>
  <c r="E118" i="33"/>
  <c r="F118" i="33"/>
  <c r="G118" i="33"/>
  <c r="H118" i="33"/>
  <c r="I118" i="33"/>
  <c r="J118" i="33"/>
  <c r="K118" i="33"/>
  <c r="L118" i="33"/>
  <c r="M118" i="33"/>
  <c r="N118" i="33"/>
  <c r="O118" i="33"/>
  <c r="P118" i="33"/>
  <c r="B119" i="33"/>
  <c r="C119" i="33"/>
  <c r="D119" i="33"/>
  <c r="E119" i="33"/>
  <c r="F119" i="33"/>
  <c r="G119" i="33"/>
  <c r="H119" i="33"/>
  <c r="I119" i="33"/>
  <c r="J119" i="33"/>
  <c r="K119" i="33"/>
  <c r="L119" i="33"/>
  <c r="M119" i="33"/>
  <c r="N119" i="33"/>
  <c r="O119" i="33"/>
  <c r="P119" i="33"/>
  <c r="B120" i="33"/>
  <c r="C120" i="33"/>
  <c r="D120" i="33"/>
  <c r="E120" i="33"/>
  <c r="F120" i="33"/>
  <c r="G120" i="33"/>
  <c r="H120" i="33"/>
  <c r="I120" i="33"/>
  <c r="J120" i="33"/>
  <c r="K120" i="33"/>
  <c r="L120" i="33"/>
  <c r="M120" i="33"/>
  <c r="N120" i="33"/>
  <c r="O120" i="33"/>
  <c r="P120" i="33"/>
  <c r="B121" i="33"/>
  <c r="C121" i="33"/>
  <c r="D121" i="33"/>
  <c r="E121" i="33"/>
  <c r="F121" i="33"/>
  <c r="G121" i="33"/>
  <c r="H121" i="33"/>
  <c r="I121" i="33"/>
  <c r="J121" i="33"/>
  <c r="K121" i="33"/>
  <c r="L121" i="33"/>
  <c r="M121" i="33"/>
  <c r="N121" i="33"/>
  <c r="O121" i="33"/>
  <c r="P121" i="33"/>
  <c r="B122" i="33"/>
  <c r="C122" i="33"/>
  <c r="D122" i="33"/>
  <c r="E122" i="33"/>
  <c r="F122" i="33"/>
  <c r="G122" i="33"/>
  <c r="H122" i="33"/>
  <c r="I122" i="33"/>
  <c r="J122" i="33"/>
  <c r="K122" i="33"/>
  <c r="L122" i="33"/>
  <c r="M122" i="33"/>
  <c r="N122" i="33"/>
  <c r="O122" i="33"/>
  <c r="P122" i="33"/>
  <c r="B123" i="33"/>
  <c r="C123" i="33"/>
  <c r="D123" i="33"/>
  <c r="E123" i="33"/>
  <c r="F123" i="33"/>
  <c r="G123" i="33"/>
  <c r="H123" i="33"/>
  <c r="I123" i="33"/>
  <c r="J123" i="33"/>
  <c r="K123" i="33"/>
  <c r="L123" i="33"/>
  <c r="M123" i="33"/>
  <c r="N123" i="33"/>
  <c r="O123" i="33"/>
  <c r="P123" i="33"/>
  <c r="B124" i="33"/>
  <c r="C124" i="33"/>
  <c r="D124" i="33"/>
  <c r="E124" i="33"/>
  <c r="F124" i="33"/>
  <c r="G124" i="33"/>
  <c r="H124" i="33"/>
  <c r="I124" i="33"/>
  <c r="J124" i="33"/>
  <c r="K124" i="33"/>
  <c r="L124" i="33"/>
  <c r="M124" i="33"/>
  <c r="N124" i="33"/>
  <c r="O124" i="33"/>
  <c r="P124" i="33"/>
  <c r="B125" i="33"/>
  <c r="C125" i="33"/>
  <c r="D125" i="33"/>
  <c r="E125" i="33"/>
  <c r="F125" i="33"/>
  <c r="G125" i="33"/>
  <c r="H125" i="33"/>
  <c r="I125" i="33"/>
  <c r="J125" i="33"/>
  <c r="K125" i="33"/>
  <c r="L125" i="33"/>
  <c r="M125" i="33"/>
  <c r="N125" i="33"/>
  <c r="O125" i="33"/>
  <c r="P125" i="33"/>
  <c r="B126" i="33"/>
  <c r="C126" i="33"/>
  <c r="D126" i="33"/>
  <c r="E126" i="33"/>
  <c r="F126" i="33"/>
  <c r="G126" i="33"/>
  <c r="H126" i="33"/>
  <c r="I126" i="33"/>
  <c r="J126" i="33"/>
  <c r="K126" i="33"/>
  <c r="L126" i="33"/>
  <c r="M126" i="33"/>
  <c r="N126" i="33"/>
  <c r="O126" i="33"/>
  <c r="P126" i="33"/>
  <c r="B127" i="33"/>
  <c r="C127" i="33"/>
  <c r="D127" i="33"/>
  <c r="E127" i="33"/>
  <c r="F127" i="33"/>
  <c r="G127" i="33"/>
  <c r="H127" i="33"/>
  <c r="I127" i="33"/>
  <c r="J127" i="33"/>
  <c r="K127" i="33"/>
  <c r="L127" i="33"/>
  <c r="M127" i="33"/>
  <c r="N127" i="33"/>
  <c r="O127" i="33"/>
  <c r="P127" i="33"/>
  <c r="B128" i="33"/>
  <c r="C128" i="33"/>
  <c r="D128" i="33"/>
  <c r="E128" i="33"/>
  <c r="F128" i="33"/>
  <c r="G128" i="33"/>
  <c r="H128" i="33"/>
  <c r="I128" i="33"/>
  <c r="J128" i="33"/>
  <c r="K128" i="33"/>
  <c r="L128" i="33"/>
  <c r="M128" i="33"/>
  <c r="N128" i="33"/>
  <c r="O128" i="33"/>
  <c r="P128" i="33"/>
  <c r="B129" i="33"/>
  <c r="C129" i="33"/>
  <c r="D129" i="33"/>
  <c r="E129" i="33"/>
  <c r="F129" i="33"/>
  <c r="G129" i="33"/>
  <c r="H129" i="33"/>
  <c r="I129" i="33"/>
  <c r="J129" i="33"/>
  <c r="K129" i="33"/>
  <c r="L129" i="33"/>
  <c r="M129" i="33"/>
  <c r="N129" i="33"/>
  <c r="O129" i="33"/>
  <c r="P129" i="33"/>
  <c r="B130" i="33"/>
  <c r="C130" i="33"/>
  <c r="D130" i="33"/>
  <c r="E130" i="33"/>
  <c r="F130" i="33"/>
  <c r="G130" i="33"/>
  <c r="H130" i="33"/>
  <c r="I130" i="33"/>
  <c r="J130" i="33"/>
  <c r="K130" i="33"/>
  <c r="L130" i="33"/>
  <c r="M130" i="33"/>
  <c r="N130" i="33"/>
  <c r="O130" i="33"/>
  <c r="P130" i="33"/>
  <c r="B131" i="33"/>
  <c r="C131" i="33"/>
  <c r="D131" i="33"/>
  <c r="E131" i="33"/>
  <c r="F131" i="33"/>
  <c r="G131" i="33"/>
  <c r="H131" i="33"/>
  <c r="I131" i="33"/>
  <c r="J131" i="33"/>
  <c r="K131" i="33"/>
  <c r="L131" i="33"/>
  <c r="M131" i="33"/>
  <c r="N131" i="33"/>
  <c r="O131" i="33"/>
  <c r="P131" i="33"/>
  <c r="B132" i="33"/>
  <c r="C132" i="33"/>
  <c r="D132" i="33"/>
  <c r="E132" i="33"/>
  <c r="F132" i="33"/>
  <c r="G132" i="33"/>
  <c r="H132" i="33"/>
  <c r="I132" i="33"/>
  <c r="J132" i="33"/>
  <c r="K132" i="33"/>
  <c r="L132" i="33"/>
  <c r="M132" i="33"/>
  <c r="N132" i="33"/>
  <c r="O132" i="33"/>
  <c r="P132" i="33"/>
  <c r="B133" i="33"/>
  <c r="C133" i="33"/>
  <c r="D133" i="33"/>
  <c r="E133" i="33"/>
  <c r="F133" i="33"/>
  <c r="G133" i="33"/>
  <c r="H133" i="33"/>
  <c r="I133" i="33"/>
  <c r="J133" i="33"/>
  <c r="K133" i="33"/>
  <c r="L133" i="33"/>
  <c r="M133" i="33"/>
  <c r="N133" i="33"/>
  <c r="O133" i="33"/>
  <c r="P133" i="33"/>
  <c r="B134" i="33"/>
  <c r="C134" i="33"/>
  <c r="D134" i="33"/>
  <c r="E134" i="33"/>
  <c r="F134" i="33"/>
  <c r="G134" i="33"/>
  <c r="H134" i="33"/>
  <c r="I134" i="33"/>
  <c r="J134" i="33"/>
  <c r="K134" i="33"/>
  <c r="L134" i="33"/>
  <c r="M134" i="33"/>
  <c r="N134" i="33"/>
  <c r="O134" i="33"/>
  <c r="P134" i="33"/>
  <c r="B135" i="33"/>
  <c r="C135" i="33"/>
  <c r="D135" i="33"/>
  <c r="E135" i="33"/>
  <c r="F135" i="33"/>
  <c r="G135" i="33"/>
  <c r="H135" i="33"/>
  <c r="I135" i="33"/>
  <c r="J135" i="33"/>
  <c r="K135" i="33"/>
  <c r="L135" i="33"/>
  <c r="M135" i="33"/>
  <c r="N135" i="33"/>
  <c r="O135" i="33"/>
  <c r="P135" i="33"/>
  <c r="B136" i="33"/>
  <c r="C136" i="33"/>
  <c r="D136" i="33"/>
  <c r="E136" i="33"/>
  <c r="F136" i="33"/>
  <c r="G136" i="33"/>
  <c r="H136" i="33"/>
  <c r="I136" i="33"/>
  <c r="J136" i="33"/>
  <c r="K136" i="33"/>
  <c r="L136" i="33"/>
  <c r="M136" i="33"/>
  <c r="N136" i="33"/>
  <c r="O136" i="33"/>
  <c r="P136" i="33"/>
  <c r="B137" i="33"/>
  <c r="C137" i="33"/>
  <c r="D137" i="33"/>
  <c r="E137" i="33"/>
  <c r="F137" i="33"/>
  <c r="G137" i="33"/>
  <c r="H137" i="33"/>
  <c r="I137" i="33"/>
  <c r="J137" i="33"/>
  <c r="K137" i="33"/>
  <c r="L137" i="33"/>
  <c r="M137" i="33"/>
  <c r="N137" i="33"/>
  <c r="O137" i="33"/>
  <c r="P137" i="33"/>
  <c r="B138" i="33"/>
  <c r="C138" i="33"/>
  <c r="D138" i="33"/>
  <c r="E138" i="33"/>
  <c r="F138" i="33"/>
  <c r="G138" i="33"/>
  <c r="H138" i="33"/>
  <c r="I138" i="33"/>
  <c r="J138" i="33"/>
  <c r="K138" i="33"/>
  <c r="L138" i="33"/>
  <c r="M138" i="33"/>
  <c r="N138" i="33"/>
  <c r="O138" i="33"/>
  <c r="P138" i="33"/>
  <c r="B139" i="33"/>
  <c r="C139" i="33"/>
  <c r="D139" i="33"/>
  <c r="E139" i="33"/>
  <c r="F139" i="33"/>
  <c r="G139" i="33"/>
  <c r="H139" i="33"/>
  <c r="I139" i="33"/>
  <c r="J139" i="33"/>
  <c r="K139" i="33"/>
  <c r="L139" i="33"/>
  <c r="M139" i="33"/>
  <c r="N139" i="33"/>
  <c r="O139" i="33"/>
  <c r="P139" i="33"/>
  <c r="B140" i="33"/>
  <c r="C140" i="33"/>
  <c r="D140" i="33"/>
  <c r="E140" i="33"/>
  <c r="F140" i="33"/>
  <c r="G140" i="33"/>
  <c r="H140" i="33"/>
  <c r="I140" i="33"/>
  <c r="J140" i="33"/>
  <c r="K140" i="33"/>
  <c r="L140" i="33"/>
  <c r="M140" i="33"/>
  <c r="N140" i="33"/>
  <c r="O140" i="33"/>
  <c r="P140" i="33"/>
  <c r="B141" i="33"/>
  <c r="C141" i="33"/>
  <c r="D141" i="33"/>
  <c r="E141" i="33"/>
  <c r="F141" i="33"/>
  <c r="G141" i="33"/>
  <c r="H141" i="33"/>
  <c r="I141" i="33"/>
  <c r="J141" i="33"/>
  <c r="K141" i="33"/>
  <c r="L141" i="33"/>
  <c r="M141" i="33"/>
  <c r="N141" i="33"/>
  <c r="O141" i="33"/>
  <c r="P141" i="33"/>
  <c r="B142" i="33"/>
  <c r="C142" i="33"/>
  <c r="D142" i="33"/>
  <c r="E142" i="33"/>
  <c r="F142" i="33"/>
  <c r="G142" i="33"/>
  <c r="H142" i="33"/>
  <c r="I142" i="33"/>
  <c r="J142" i="33"/>
  <c r="K142" i="33"/>
  <c r="L142" i="33"/>
  <c r="M142" i="33"/>
  <c r="N142" i="33"/>
  <c r="O142" i="33"/>
  <c r="P142" i="33"/>
  <c r="B143" i="33"/>
  <c r="C143" i="33"/>
  <c r="D143" i="33"/>
  <c r="E143" i="33"/>
  <c r="F143" i="33"/>
  <c r="G143" i="33"/>
  <c r="H143" i="33"/>
  <c r="I143" i="33"/>
  <c r="J143" i="33"/>
  <c r="K143" i="33"/>
  <c r="L143" i="33"/>
  <c r="M143" i="33"/>
  <c r="N143" i="33"/>
  <c r="O143" i="33"/>
  <c r="P143" i="33"/>
  <c r="B144" i="33"/>
  <c r="C144" i="33"/>
  <c r="D144" i="33"/>
  <c r="E144" i="33"/>
  <c r="F144" i="33"/>
  <c r="G144" i="33"/>
  <c r="H144" i="33"/>
  <c r="I144" i="33"/>
  <c r="J144" i="33"/>
  <c r="K144" i="33"/>
  <c r="L144" i="33"/>
  <c r="M144" i="33"/>
  <c r="N144" i="33"/>
  <c r="O144" i="33"/>
  <c r="P144" i="33"/>
  <c r="B145" i="33"/>
  <c r="C145" i="33"/>
  <c r="D145" i="33"/>
  <c r="E145" i="33"/>
  <c r="F145" i="33"/>
  <c r="G145" i="33"/>
  <c r="H145" i="33"/>
  <c r="I145" i="33"/>
  <c r="J145" i="33"/>
  <c r="K145" i="33"/>
  <c r="L145" i="33"/>
  <c r="M145" i="33"/>
  <c r="N145" i="33"/>
  <c r="O145" i="33"/>
  <c r="P145" i="33"/>
  <c r="B146" i="33"/>
  <c r="C146" i="33"/>
  <c r="D146" i="33"/>
  <c r="E146" i="33"/>
  <c r="F146" i="33"/>
  <c r="G146" i="33"/>
  <c r="H146" i="33"/>
  <c r="I146" i="33"/>
  <c r="J146" i="33"/>
  <c r="K146" i="33"/>
  <c r="L146" i="33"/>
  <c r="M146" i="33"/>
  <c r="N146" i="33"/>
  <c r="O146" i="33"/>
  <c r="P146" i="33"/>
  <c r="B147" i="33"/>
  <c r="C147" i="33"/>
  <c r="D147" i="33"/>
  <c r="E147" i="33"/>
  <c r="F147" i="33"/>
  <c r="G147" i="33"/>
  <c r="H147" i="33"/>
  <c r="I147" i="33"/>
  <c r="J147" i="33"/>
  <c r="K147" i="33"/>
  <c r="L147" i="33"/>
  <c r="M147" i="33"/>
  <c r="N147" i="33"/>
  <c r="O147" i="33"/>
  <c r="P147" i="33"/>
  <c r="B148" i="33"/>
  <c r="C148" i="33"/>
  <c r="D148" i="33"/>
  <c r="E148" i="33"/>
  <c r="F148" i="33"/>
  <c r="G148" i="33"/>
  <c r="H148" i="33"/>
  <c r="I148" i="33"/>
  <c r="J148" i="33"/>
  <c r="K148" i="33"/>
  <c r="L148" i="33"/>
  <c r="M148" i="33"/>
  <c r="N148" i="33"/>
  <c r="O148" i="33"/>
  <c r="P148" i="33"/>
  <c r="B149" i="33"/>
  <c r="C149" i="33"/>
  <c r="D149" i="33"/>
  <c r="E149" i="33"/>
  <c r="F149" i="33"/>
  <c r="G149" i="33"/>
  <c r="H149" i="33"/>
  <c r="I149" i="33"/>
  <c r="J149" i="33"/>
  <c r="K149" i="33"/>
  <c r="L149" i="33"/>
  <c r="M149" i="33"/>
  <c r="N149" i="33"/>
  <c r="O149" i="33"/>
  <c r="P149" i="33"/>
  <c r="B150" i="33"/>
  <c r="C150" i="33"/>
  <c r="D150" i="33"/>
  <c r="E150" i="33"/>
  <c r="F150" i="33"/>
  <c r="G150" i="33"/>
  <c r="H150" i="33"/>
  <c r="I150" i="33"/>
  <c r="J150" i="33"/>
  <c r="K150" i="33"/>
  <c r="L150" i="33"/>
  <c r="M150" i="33"/>
  <c r="N150" i="33"/>
  <c r="O150" i="33"/>
  <c r="P150" i="33"/>
  <c r="B151" i="33"/>
  <c r="C151" i="33"/>
  <c r="D151" i="33"/>
  <c r="E151" i="33"/>
  <c r="F151" i="33"/>
  <c r="G151" i="33"/>
  <c r="H151" i="33"/>
  <c r="I151" i="33"/>
  <c r="J151" i="33"/>
  <c r="K151" i="33"/>
  <c r="L151" i="33"/>
  <c r="M151" i="33"/>
  <c r="N151" i="33"/>
  <c r="O151" i="33"/>
  <c r="P151" i="33"/>
  <c r="B152" i="33"/>
  <c r="C152" i="33"/>
  <c r="D152" i="33"/>
  <c r="E152" i="33"/>
  <c r="F152" i="33"/>
  <c r="G152" i="33"/>
  <c r="H152" i="33"/>
  <c r="I152" i="33"/>
  <c r="J152" i="33"/>
  <c r="K152" i="33"/>
  <c r="L152" i="33"/>
  <c r="M152" i="33"/>
  <c r="N152" i="33"/>
  <c r="O152" i="33"/>
  <c r="P152" i="33"/>
  <c r="B153" i="33"/>
  <c r="C153" i="33"/>
  <c r="D153" i="33"/>
  <c r="E153" i="33"/>
  <c r="F153" i="33"/>
  <c r="G153" i="33"/>
  <c r="H153" i="33"/>
  <c r="I153" i="33"/>
  <c r="J153" i="33"/>
  <c r="K153" i="33"/>
  <c r="L153" i="33"/>
  <c r="M153" i="33"/>
  <c r="N153" i="33"/>
  <c r="O153" i="33"/>
  <c r="P153" i="33"/>
  <c r="B154" i="33"/>
  <c r="C154" i="33"/>
  <c r="D154" i="33"/>
  <c r="E154" i="33"/>
  <c r="F154" i="33"/>
  <c r="G154" i="33"/>
  <c r="H154" i="33"/>
  <c r="I154" i="33"/>
  <c r="J154" i="33"/>
  <c r="K154" i="33"/>
  <c r="L154" i="33"/>
  <c r="M154" i="33"/>
  <c r="N154" i="33"/>
  <c r="O154" i="33"/>
  <c r="P154" i="33"/>
  <c r="B155" i="33"/>
  <c r="C155" i="33"/>
  <c r="D155" i="33"/>
  <c r="E155" i="33"/>
  <c r="F155" i="33"/>
  <c r="G155" i="33"/>
  <c r="H155" i="33"/>
  <c r="I155" i="33"/>
  <c r="J155" i="33"/>
  <c r="K155" i="33"/>
  <c r="L155" i="33"/>
  <c r="M155" i="33"/>
  <c r="N155" i="33"/>
  <c r="O155" i="33"/>
  <c r="P155" i="33"/>
  <c r="B156" i="33"/>
  <c r="C156" i="33"/>
  <c r="D156" i="33"/>
  <c r="E156" i="33"/>
  <c r="F156" i="33"/>
  <c r="G156" i="33"/>
  <c r="H156" i="33"/>
  <c r="I156" i="33"/>
  <c r="J156" i="33"/>
  <c r="K156" i="33"/>
  <c r="L156" i="33"/>
  <c r="M156" i="33"/>
  <c r="N156" i="33"/>
  <c r="O156" i="33"/>
  <c r="P156" i="33"/>
  <c r="B157" i="33"/>
  <c r="C157" i="33"/>
  <c r="D157" i="33"/>
  <c r="E157" i="33"/>
  <c r="F157" i="33"/>
  <c r="G157" i="33"/>
  <c r="H157" i="33"/>
  <c r="I157" i="33"/>
  <c r="J157" i="33"/>
  <c r="K157" i="33"/>
  <c r="L157" i="33"/>
  <c r="M157" i="33"/>
  <c r="N157" i="33"/>
  <c r="O157" i="33"/>
  <c r="P157" i="33"/>
  <c r="B158" i="33"/>
  <c r="C158" i="33"/>
  <c r="D158" i="33"/>
  <c r="E158" i="33"/>
  <c r="F158" i="33"/>
  <c r="G158" i="33"/>
  <c r="H158" i="33"/>
  <c r="I158" i="33"/>
  <c r="J158" i="33"/>
  <c r="K158" i="33"/>
  <c r="L158" i="33"/>
  <c r="M158" i="33"/>
  <c r="N158" i="33"/>
  <c r="O158" i="33"/>
  <c r="P158" i="33"/>
  <c r="B159" i="33"/>
  <c r="C159" i="33"/>
  <c r="D159" i="33"/>
  <c r="E159" i="33"/>
  <c r="F159" i="33"/>
  <c r="G159" i="33"/>
  <c r="H159" i="33"/>
  <c r="I159" i="33"/>
  <c r="J159" i="33"/>
  <c r="K159" i="33"/>
  <c r="L159" i="33"/>
  <c r="M159" i="33"/>
  <c r="N159" i="33"/>
  <c r="O159" i="33"/>
  <c r="P159" i="33"/>
  <c r="B160" i="33"/>
  <c r="C160" i="33"/>
  <c r="D160" i="33"/>
  <c r="E160" i="33"/>
  <c r="F160" i="33"/>
  <c r="G160" i="33"/>
  <c r="H160" i="33"/>
  <c r="I160" i="33"/>
  <c r="J160" i="33"/>
  <c r="K160" i="33"/>
  <c r="L160" i="33"/>
  <c r="M160" i="33"/>
  <c r="N160" i="33"/>
  <c r="O160" i="33"/>
  <c r="P160" i="33"/>
  <c r="B161" i="33"/>
  <c r="C161" i="33"/>
  <c r="D161" i="33"/>
  <c r="E161" i="33"/>
  <c r="F161" i="33"/>
  <c r="G161" i="33"/>
  <c r="H161" i="33"/>
  <c r="I161" i="33"/>
  <c r="J161" i="33"/>
  <c r="K161" i="33"/>
  <c r="L161" i="33"/>
  <c r="M161" i="33"/>
  <c r="N161" i="33"/>
  <c r="O161" i="33"/>
  <c r="P161" i="33"/>
  <c r="B162" i="33"/>
  <c r="C162" i="33"/>
  <c r="D162" i="33"/>
  <c r="E162" i="33"/>
  <c r="F162" i="33"/>
  <c r="G162" i="33"/>
  <c r="H162" i="33"/>
  <c r="I162" i="33"/>
  <c r="J162" i="33"/>
  <c r="K162" i="33"/>
  <c r="L162" i="33"/>
  <c r="M162" i="33"/>
  <c r="N162" i="33"/>
  <c r="O162" i="33"/>
  <c r="P162" i="33"/>
  <c r="B163" i="33"/>
  <c r="C163" i="33"/>
  <c r="D163" i="33"/>
  <c r="E163" i="33"/>
  <c r="F163" i="33"/>
  <c r="G163" i="33"/>
  <c r="H163" i="33"/>
  <c r="I163" i="33"/>
  <c r="J163" i="33"/>
  <c r="K163" i="33"/>
  <c r="L163" i="33"/>
  <c r="M163" i="33"/>
  <c r="N163" i="33"/>
  <c r="O163" i="33"/>
  <c r="P163" i="33"/>
  <c r="B164" i="33"/>
  <c r="C164" i="33"/>
  <c r="D164" i="33"/>
  <c r="E164" i="33"/>
  <c r="F164" i="33"/>
  <c r="G164" i="33"/>
  <c r="H164" i="33"/>
  <c r="I164" i="33"/>
  <c r="J164" i="33"/>
  <c r="K164" i="33"/>
  <c r="L164" i="33"/>
  <c r="M164" i="33"/>
  <c r="N164" i="33"/>
  <c r="O164" i="33"/>
  <c r="P164" i="33"/>
  <c r="B165" i="33"/>
  <c r="C165" i="33"/>
  <c r="D165" i="33"/>
  <c r="E165" i="33"/>
  <c r="F165" i="33"/>
  <c r="G165" i="33"/>
  <c r="H165" i="33"/>
  <c r="I165" i="33"/>
  <c r="J165" i="33"/>
  <c r="K165" i="33"/>
  <c r="L165" i="33"/>
  <c r="M165" i="33"/>
  <c r="N165" i="33"/>
  <c r="O165" i="33"/>
  <c r="P165" i="33"/>
  <c r="X16" i="32"/>
  <c r="Y16" i="32"/>
  <c r="X17" i="32"/>
  <c r="Y17" i="32"/>
  <c r="S17" i="32"/>
  <c r="R17" i="32"/>
  <c r="S16" i="32"/>
  <c r="R16" i="32"/>
  <c r="E5" i="33"/>
  <c r="E4" i="33"/>
  <c r="D32" i="42"/>
  <c r="D31" i="42"/>
  <c r="E31" i="42" s="1"/>
  <c r="F31" i="42" s="1"/>
  <c r="F5" i="42" s="1"/>
  <c r="E30" i="42"/>
  <c r="F30" i="42" s="1"/>
  <c r="F4" i="42" s="1"/>
  <c r="D30" i="42"/>
  <c r="F7" i="42"/>
  <c r="G3" i="42" s="1"/>
  <c r="E5" i="41"/>
  <c r="E4" i="41"/>
  <c r="AX18" i="40"/>
  <c r="AW17" i="40" s="1"/>
  <c r="J12" i="40"/>
  <c r="J11" i="40"/>
  <c r="J10" i="40"/>
  <c r="AZ4" i="40"/>
  <c r="M14" i="40" s="1"/>
  <c r="L4" i="40"/>
  <c r="L5" i="40" s="1"/>
  <c r="E4" i="40"/>
  <c r="C4" i="40"/>
  <c r="C17" i="39"/>
  <c r="D9" i="38"/>
  <c r="G6" i="38"/>
  <c r="I5" i="38"/>
  <c r="H5" i="38"/>
  <c r="I4" i="38"/>
  <c r="I6" i="38" s="1"/>
  <c r="H6" i="38" s="1"/>
  <c r="H4" i="38"/>
  <c r="D91" i="36"/>
  <c r="D90" i="36"/>
  <c r="D89" i="36"/>
  <c r="N82" i="36"/>
  <c r="M82" i="36"/>
  <c r="L82" i="36"/>
  <c r="G82" i="36"/>
  <c r="D85" i="36" s="1"/>
  <c r="F82" i="36"/>
  <c r="E82" i="36"/>
  <c r="D82" i="36"/>
  <c r="P81" i="36"/>
  <c r="K82" i="36" s="1"/>
  <c r="Y73" i="36"/>
  <c r="R73" i="36"/>
  <c r="AE72" i="36"/>
  <c r="Z73" i="36" s="1"/>
  <c r="D68" i="36"/>
  <c r="D67" i="36"/>
  <c r="X60" i="36"/>
  <c r="P60" i="36"/>
  <c r="T59" i="36"/>
  <c r="X56" i="36"/>
  <c r="W56" i="36"/>
  <c r="P56" i="36"/>
  <c r="F60" i="36" s="1"/>
  <c r="O56" i="36"/>
  <c r="AB60" i="36" s="1"/>
  <c r="H56" i="36"/>
  <c r="G56" i="36"/>
  <c r="AB55" i="36"/>
  <c r="T55" i="36"/>
  <c r="L55" i="36"/>
  <c r="D55" i="36"/>
  <c r="AD54" i="36"/>
  <c r="AC54" i="36"/>
  <c r="AB54" i="36"/>
  <c r="AB56" i="36" s="1"/>
  <c r="X54" i="36"/>
  <c r="X55" i="36" s="1"/>
  <c r="W54" i="36"/>
  <c r="W55" i="36" s="1"/>
  <c r="V54" i="36"/>
  <c r="U54" i="36"/>
  <c r="T54" i="36"/>
  <c r="T56" i="36" s="1"/>
  <c r="P54" i="36"/>
  <c r="P55" i="36" s="1"/>
  <c r="F59" i="36" s="1"/>
  <c r="O54" i="36"/>
  <c r="O55" i="36" s="1"/>
  <c r="AB59" i="36" s="1"/>
  <c r="N54" i="36"/>
  <c r="M54" i="36"/>
  <c r="L54" i="36"/>
  <c r="L56" i="36" s="1"/>
  <c r="T60" i="36" s="1"/>
  <c r="H54" i="36"/>
  <c r="H55" i="36" s="1"/>
  <c r="P59" i="36" s="1"/>
  <c r="G54" i="36"/>
  <c r="G55" i="36" s="1"/>
  <c r="X59" i="36" s="1"/>
  <c r="F54" i="36"/>
  <c r="E54" i="36"/>
  <c r="D54" i="36"/>
  <c r="D56" i="36" s="1"/>
  <c r="AG53" i="36"/>
  <c r="AA54" i="36" s="1"/>
  <c r="AA56" i="36" s="1"/>
  <c r="T49" i="36"/>
  <c r="T48" i="36"/>
  <c r="T50" i="36" s="1"/>
  <c r="S48" i="36"/>
  <c r="L48" i="36"/>
  <c r="L50" i="36" s="1"/>
  <c r="K48" i="36"/>
  <c r="D48" i="36"/>
  <c r="D50" i="36" s="1"/>
  <c r="AG47" i="36"/>
  <c r="I42" i="36"/>
  <c r="H42" i="36"/>
  <c r="G42" i="36"/>
  <c r="F42" i="36"/>
  <c r="E42" i="36"/>
  <c r="D42" i="36"/>
  <c r="K41" i="36"/>
  <c r="J42" i="36" s="1"/>
  <c r="J36" i="36"/>
  <c r="L35" i="36"/>
  <c r="K36" i="36" s="1"/>
  <c r="D29" i="36"/>
  <c r="D28" i="36"/>
  <c r="E27" i="36"/>
  <c r="D27" i="36"/>
  <c r="F26" i="36"/>
  <c r="I19" i="36"/>
  <c r="H19" i="36"/>
  <c r="G19" i="36"/>
  <c r="F19" i="36"/>
  <c r="E19" i="36"/>
  <c r="D19" i="36"/>
  <c r="AB29" i="35"/>
  <c r="R29" i="35"/>
  <c r="AC27" i="35"/>
  <c r="AA27" i="35" s="1"/>
  <c r="AB27" i="35"/>
  <c r="Z27" i="35"/>
  <c r="Y27" i="35"/>
  <c r="X27" i="35"/>
  <c r="W27" i="35"/>
  <c r="V27" i="35"/>
  <c r="U27" i="35"/>
  <c r="T27" i="35"/>
  <c r="R27" i="35"/>
  <c r="Q27" i="35"/>
  <c r="P27" i="35"/>
  <c r="O27" i="35"/>
  <c r="N27" i="35"/>
  <c r="M27" i="35"/>
  <c r="L27" i="35"/>
  <c r="J27" i="35"/>
  <c r="I27" i="35"/>
  <c r="H27" i="35"/>
  <c r="G27" i="35"/>
  <c r="F27" i="35"/>
  <c r="E27" i="35"/>
  <c r="AC26" i="35"/>
  <c r="AB26" i="35"/>
  <c r="AA26" i="35"/>
  <c r="Z26" i="35"/>
  <c r="Y26" i="35"/>
  <c r="X26" i="35"/>
  <c r="W26" i="35"/>
  <c r="V26" i="35"/>
  <c r="U26" i="35"/>
  <c r="T26" i="35"/>
  <c r="S26" i="35"/>
  <c r="R26" i="35"/>
  <c r="Q26" i="35"/>
  <c r="P26" i="35"/>
  <c r="O26" i="35"/>
  <c r="N26" i="35"/>
  <c r="M26" i="35"/>
  <c r="L26" i="35"/>
  <c r="K26" i="35"/>
  <c r="J26" i="35"/>
  <c r="I26" i="35"/>
  <c r="H26" i="35"/>
  <c r="G26" i="35"/>
  <c r="F26" i="35"/>
  <c r="AD26" i="35" s="1"/>
  <c r="E26" i="35"/>
  <c r="AD12" i="35"/>
  <c r="AB12" i="35"/>
  <c r="AA12" i="35"/>
  <c r="Z12" i="35"/>
  <c r="Y12" i="35"/>
  <c r="X12" i="35"/>
  <c r="W12" i="35"/>
  <c r="V12" i="35"/>
  <c r="U12" i="35"/>
  <c r="T12" i="35"/>
  <c r="S12" i="35"/>
  <c r="R12" i="35"/>
  <c r="Q12" i="35"/>
  <c r="P12" i="35"/>
  <c r="O12" i="35"/>
  <c r="N12" i="35"/>
  <c r="M12" i="35"/>
  <c r="L12" i="35"/>
  <c r="K12" i="35"/>
  <c r="J12" i="35"/>
  <c r="I12" i="35"/>
  <c r="H12" i="35"/>
  <c r="AC12" i="35" s="1"/>
  <c r="AD11" i="35"/>
  <c r="AB11" i="35"/>
  <c r="AA11" i="35"/>
  <c r="Z11" i="35"/>
  <c r="Y11" i="35"/>
  <c r="X11" i="35"/>
  <c r="W11" i="35"/>
  <c r="V11" i="35"/>
  <c r="U11" i="35"/>
  <c r="T11" i="35"/>
  <c r="S11" i="35"/>
  <c r="R11" i="35"/>
  <c r="Q11" i="35"/>
  <c r="P11" i="35"/>
  <c r="O11" i="35"/>
  <c r="N11" i="35"/>
  <c r="M11" i="35"/>
  <c r="L11" i="35"/>
  <c r="K11" i="35"/>
  <c r="J11" i="35"/>
  <c r="I11" i="35"/>
  <c r="AC11" i="35" s="1"/>
  <c r="H11" i="35"/>
  <c r="AD10" i="35"/>
  <c r="AB10" i="35"/>
  <c r="AA10" i="35"/>
  <c r="Z10" i="35"/>
  <c r="Y10" i="35"/>
  <c r="X10" i="35"/>
  <c r="W10" i="35"/>
  <c r="V10" i="35"/>
  <c r="U10" i="35"/>
  <c r="T10" i="35"/>
  <c r="S10" i="35"/>
  <c r="R10" i="35"/>
  <c r="Q10" i="35"/>
  <c r="P10" i="35"/>
  <c r="O10" i="35"/>
  <c r="N10" i="35"/>
  <c r="M10" i="35"/>
  <c r="L10" i="35"/>
  <c r="K10" i="35"/>
  <c r="J10" i="35"/>
  <c r="I10" i="35"/>
  <c r="H10" i="35"/>
  <c r="AC10" i="35" s="1"/>
  <c r="AB8" i="35"/>
  <c r="AB7" i="35"/>
  <c r="AB6" i="35"/>
  <c r="AB9" i="35" s="1"/>
  <c r="E6" i="35"/>
  <c r="AC5" i="35"/>
  <c r="F5" i="35"/>
  <c r="G5" i="35" s="1"/>
  <c r="H5" i="35" s="1"/>
  <c r="AC4" i="35"/>
  <c r="F4" i="35" s="1"/>
  <c r="G4" i="35" s="1"/>
  <c r="H4" i="35" s="1"/>
  <c r="T6" i="32"/>
  <c r="U6" i="32"/>
  <c r="T7" i="32"/>
  <c r="U7" i="32"/>
  <c r="T8" i="32"/>
  <c r="U8" i="32"/>
  <c r="T9" i="32"/>
  <c r="U9" i="32"/>
  <c r="T10" i="32"/>
  <c r="U10" i="32"/>
  <c r="T11" i="32"/>
  <c r="U11" i="32"/>
  <c r="T12" i="32"/>
  <c r="U12" i="32"/>
  <c r="T13" i="32"/>
  <c r="U13" i="32"/>
  <c r="T14" i="32"/>
  <c r="U14" i="32"/>
  <c r="T15" i="32"/>
  <c r="U15" i="32"/>
  <c r="T16" i="32"/>
  <c r="U16" i="32"/>
  <c r="T18" i="32"/>
  <c r="U18" i="32"/>
  <c r="T19" i="32"/>
  <c r="U19" i="32"/>
  <c r="T20" i="32"/>
  <c r="U20" i="32"/>
  <c r="T21" i="32"/>
  <c r="U21" i="32"/>
  <c r="T22" i="32"/>
  <c r="U22" i="32"/>
  <c r="T23" i="32"/>
  <c r="U23" i="32"/>
  <c r="T24" i="32"/>
  <c r="U24" i="32"/>
  <c r="T25" i="32"/>
  <c r="U25" i="32"/>
  <c r="T26" i="32"/>
  <c r="U26" i="32"/>
  <c r="T27" i="32"/>
  <c r="U27" i="32"/>
  <c r="T28" i="32"/>
  <c r="U28" i="32"/>
  <c r="T29" i="32"/>
  <c r="U29" i="32"/>
  <c r="T30" i="32"/>
  <c r="U30" i="32"/>
  <c r="T31" i="32"/>
  <c r="U31" i="32"/>
  <c r="T32" i="32"/>
  <c r="U32" i="32"/>
  <c r="T33" i="32"/>
  <c r="U33" i="32"/>
  <c r="T34" i="32"/>
  <c r="U34" i="32"/>
  <c r="T35" i="32"/>
  <c r="U35" i="32"/>
  <c r="T36" i="32"/>
  <c r="U36" i="32"/>
  <c r="T37" i="32"/>
  <c r="U37" i="32"/>
  <c r="T38" i="32"/>
  <c r="U38" i="32"/>
  <c r="T39" i="32"/>
  <c r="U39" i="32"/>
  <c r="T40" i="32"/>
  <c r="U40" i="32"/>
  <c r="T41" i="32"/>
  <c r="U41" i="32"/>
  <c r="T42" i="32"/>
  <c r="U42" i="32"/>
  <c r="T43" i="32"/>
  <c r="U43" i="32"/>
  <c r="T44" i="32"/>
  <c r="U44" i="32"/>
  <c r="T45" i="32"/>
  <c r="U45" i="32"/>
  <c r="T46" i="32"/>
  <c r="U46" i="32"/>
  <c r="T47" i="32"/>
  <c r="U47" i="32"/>
  <c r="T48" i="32"/>
  <c r="U48" i="32"/>
  <c r="T49" i="32"/>
  <c r="U49" i="32"/>
  <c r="T50" i="32"/>
  <c r="U50" i="32"/>
  <c r="T51" i="32"/>
  <c r="U51" i="32"/>
  <c r="T52" i="32"/>
  <c r="U52" i="32"/>
  <c r="T53" i="32"/>
  <c r="U53" i="32"/>
  <c r="T54" i="32"/>
  <c r="U54" i="32"/>
  <c r="T55" i="32"/>
  <c r="U55" i="32"/>
  <c r="T56" i="32"/>
  <c r="U56" i="32"/>
  <c r="T57" i="32"/>
  <c r="U57" i="32"/>
  <c r="T58" i="32"/>
  <c r="U58" i="32"/>
  <c r="T59" i="32"/>
  <c r="U59" i="32"/>
  <c r="T60" i="32"/>
  <c r="U60" i="32"/>
  <c r="T61" i="32"/>
  <c r="U61" i="32"/>
  <c r="T62" i="32"/>
  <c r="U62" i="32"/>
  <c r="T63" i="32"/>
  <c r="U63" i="32"/>
  <c r="T64" i="32"/>
  <c r="U64" i="32"/>
  <c r="T65" i="32"/>
  <c r="U65" i="32"/>
  <c r="T66" i="32"/>
  <c r="U66" i="32"/>
  <c r="P6" i="32"/>
  <c r="Q6" i="32"/>
  <c r="P7" i="32"/>
  <c r="Q7" i="32"/>
  <c r="P8" i="32"/>
  <c r="Q8" i="32"/>
  <c r="P9" i="32"/>
  <c r="Q9" i="32"/>
  <c r="P10" i="32"/>
  <c r="Q10" i="32"/>
  <c r="P11" i="32"/>
  <c r="Q11" i="32"/>
  <c r="P12" i="32"/>
  <c r="Q12" i="32"/>
  <c r="P13" i="32"/>
  <c r="Q13" i="32"/>
  <c r="P14" i="32"/>
  <c r="Q14" i="32"/>
  <c r="P15" i="32"/>
  <c r="Q15" i="32"/>
  <c r="P16" i="32"/>
  <c r="Q16" i="32"/>
  <c r="P17" i="32"/>
  <c r="Q17" i="32"/>
  <c r="P18" i="32"/>
  <c r="Q18" i="32"/>
  <c r="P19" i="32"/>
  <c r="Q19" i="32"/>
  <c r="P20" i="32"/>
  <c r="Q20" i="32"/>
  <c r="P21" i="32"/>
  <c r="Q21" i="32"/>
  <c r="P22" i="32"/>
  <c r="Q22" i="32"/>
  <c r="P23" i="32"/>
  <c r="Q23" i="32"/>
  <c r="P24" i="32"/>
  <c r="Q24" i="32"/>
  <c r="P25" i="32"/>
  <c r="Q25" i="32"/>
  <c r="P26" i="32"/>
  <c r="Q26" i="32"/>
  <c r="P27" i="32"/>
  <c r="Q27" i="32"/>
  <c r="P28" i="32"/>
  <c r="Q28" i="32"/>
  <c r="P29" i="32"/>
  <c r="Q29" i="32"/>
  <c r="P30" i="32"/>
  <c r="Q30" i="32"/>
  <c r="P31" i="32"/>
  <c r="Q31" i="32"/>
  <c r="P32" i="32"/>
  <c r="Q32" i="32"/>
  <c r="P33" i="32"/>
  <c r="Q33" i="32"/>
  <c r="P34" i="32"/>
  <c r="Q34" i="32"/>
  <c r="P35" i="32"/>
  <c r="Q35" i="32"/>
  <c r="P36" i="32"/>
  <c r="Q36" i="32"/>
  <c r="P37" i="32"/>
  <c r="Q37" i="32"/>
  <c r="P38" i="32"/>
  <c r="Q38" i="32"/>
  <c r="P39" i="32"/>
  <c r="Q39" i="32"/>
  <c r="P40" i="32"/>
  <c r="Q40" i="32"/>
  <c r="P41" i="32"/>
  <c r="Q41" i="32"/>
  <c r="P42" i="32"/>
  <c r="Q42" i="32"/>
  <c r="P43" i="32"/>
  <c r="Q43" i="32"/>
  <c r="P44" i="32"/>
  <c r="Q44" i="32"/>
  <c r="P45" i="32"/>
  <c r="Q45" i="32"/>
  <c r="P46" i="32"/>
  <c r="Q46" i="32"/>
  <c r="P47" i="32"/>
  <c r="Q47" i="32"/>
  <c r="P48" i="32"/>
  <c r="Q48" i="32"/>
  <c r="P49" i="32"/>
  <c r="Q49" i="32"/>
  <c r="P50" i="32"/>
  <c r="Q50" i="32"/>
  <c r="P51" i="32"/>
  <c r="Q51" i="32"/>
  <c r="P52" i="32"/>
  <c r="Q52" i="32"/>
  <c r="P53" i="32"/>
  <c r="Q53" i="32"/>
  <c r="P54" i="32"/>
  <c r="Q54" i="32"/>
  <c r="P55" i="32"/>
  <c r="Q55" i="32"/>
  <c r="P56" i="32"/>
  <c r="Q56" i="32"/>
  <c r="P57" i="32"/>
  <c r="Q57" i="32"/>
  <c r="P58" i="32"/>
  <c r="Q58" i="32"/>
  <c r="P59" i="32"/>
  <c r="Q59" i="32"/>
  <c r="P60" i="32"/>
  <c r="Q60" i="32"/>
  <c r="P61" i="32"/>
  <c r="Q61" i="32"/>
  <c r="P62" i="32"/>
  <c r="Q62" i="32"/>
  <c r="P63" i="32"/>
  <c r="Q63" i="32"/>
  <c r="P64" i="32"/>
  <c r="Q64" i="32"/>
  <c r="P65" i="32"/>
  <c r="Q65" i="32"/>
  <c r="P66" i="32"/>
  <c r="Q66" i="32"/>
  <c r="Y50" i="32"/>
  <c r="X6" i="32"/>
  <c r="Y6" i="32"/>
  <c r="X7" i="32"/>
  <c r="Y7" i="32"/>
  <c r="X8" i="32"/>
  <c r="Y8" i="32"/>
  <c r="X9" i="32"/>
  <c r="Y9" i="32"/>
  <c r="X10" i="32"/>
  <c r="Y10" i="32"/>
  <c r="X11" i="32"/>
  <c r="Y11" i="32"/>
  <c r="X12" i="32"/>
  <c r="Y12" i="32"/>
  <c r="X13" i="32"/>
  <c r="Y13" i="32"/>
  <c r="X14" i="32"/>
  <c r="Y14" i="32"/>
  <c r="X15" i="32"/>
  <c r="Y15" i="32"/>
  <c r="X18" i="32"/>
  <c r="Y18" i="32"/>
  <c r="X19" i="32"/>
  <c r="Y19" i="32"/>
  <c r="X20" i="32"/>
  <c r="Y20" i="32"/>
  <c r="X21" i="32"/>
  <c r="Y21" i="32"/>
  <c r="X22" i="32"/>
  <c r="Y22" i="32"/>
  <c r="X23" i="32"/>
  <c r="Y23" i="32"/>
  <c r="X24" i="32"/>
  <c r="Y24" i="32"/>
  <c r="X25" i="32"/>
  <c r="Y25" i="32"/>
  <c r="X26" i="32"/>
  <c r="Y26" i="32"/>
  <c r="X27" i="32"/>
  <c r="Y27" i="32"/>
  <c r="X28" i="32"/>
  <c r="Y28" i="32"/>
  <c r="X29" i="32"/>
  <c r="Y29" i="32"/>
  <c r="X30" i="32"/>
  <c r="Y30" i="32"/>
  <c r="X31" i="32"/>
  <c r="Y31" i="32"/>
  <c r="X32" i="32"/>
  <c r="Y32" i="32"/>
  <c r="X33" i="32"/>
  <c r="Y33" i="32"/>
  <c r="X34" i="32"/>
  <c r="Y34" i="32"/>
  <c r="X35" i="32"/>
  <c r="Y35" i="32"/>
  <c r="X36" i="32"/>
  <c r="Y36" i="32"/>
  <c r="X37" i="32"/>
  <c r="Y37" i="32"/>
  <c r="X38" i="32"/>
  <c r="Y38" i="32"/>
  <c r="X39" i="32"/>
  <c r="Y39" i="32"/>
  <c r="X40" i="32"/>
  <c r="Y40" i="32"/>
  <c r="X41" i="32"/>
  <c r="Y41" i="32"/>
  <c r="X42" i="32"/>
  <c r="Y42" i="32"/>
  <c r="X43" i="32"/>
  <c r="Y43" i="32"/>
  <c r="X44" i="32"/>
  <c r="Y44" i="32"/>
  <c r="X45" i="32"/>
  <c r="Y45" i="32"/>
  <c r="X46" i="32"/>
  <c r="Y46" i="32"/>
  <c r="X47" i="32"/>
  <c r="Y47" i="32"/>
  <c r="X48" i="32"/>
  <c r="Y48" i="32"/>
  <c r="X49" i="32"/>
  <c r="Y49" i="32"/>
  <c r="X50" i="32"/>
  <c r="X51" i="32"/>
  <c r="Y51" i="32"/>
  <c r="X52" i="32"/>
  <c r="Y52" i="32"/>
  <c r="X53" i="32"/>
  <c r="Y53" i="32"/>
  <c r="X54" i="32"/>
  <c r="Y54" i="32"/>
  <c r="X55" i="32"/>
  <c r="Y55" i="32"/>
  <c r="X56" i="32"/>
  <c r="Y56" i="32"/>
  <c r="X57" i="32"/>
  <c r="Y57" i="32"/>
  <c r="X58" i="32"/>
  <c r="Y58" i="32"/>
  <c r="X59" i="32"/>
  <c r="Y59" i="32"/>
  <c r="X60" i="32"/>
  <c r="Y60" i="32"/>
  <c r="X61" i="32"/>
  <c r="Y61" i="32"/>
  <c r="X62" i="32"/>
  <c r="Y62" i="32"/>
  <c r="X63" i="32"/>
  <c r="Y63" i="32"/>
  <c r="X64" i="32"/>
  <c r="Y64" i="32"/>
  <c r="X65" i="32"/>
  <c r="Y65" i="32"/>
  <c r="X66" i="32"/>
  <c r="Y66" i="32"/>
  <c r="X67" i="32"/>
  <c r="Y67" i="32"/>
  <c r="X68" i="32"/>
  <c r="Y68" i="32"/>
  <c r="X69" i="32"/>
  <c r="Y69" i="32"/>
  <c r="X70" i="32"/>
  <c r="Y70" i="32"/>
  <c r="X71" i="32"/>
  <c r="Y71" i="32"/>
  <c r="X72" i="32"/>
  <c r="Y72" i="32"/>
  <c r="X5" i="32"/>
  <c r="Y5" i="32"/>
  <c r="U17" i="32" l="1"/>
  <c r="G4" i="42"/>
  <c r="G6" i="42"/>
  <c r="G5" i="42"/>
  <c r="H3" i="42"/>
  <c r="F6" i="42"/>
  <c r="AW18" i="40"/>
  <c r="AV17" i="40"/>
  <c r="AZ5" i="40"/>
  <c r="AY4" i="40" s="1"/>
  <c r="M56" i="36"/>
  <c r="S60" i="36" s="1"/>
  <c r="M55" i="36"/>
  <c r="S59" i="36" s="1"/>
  <c r="E56" i="36"/>
  <c r="AA60" i="36" s="1"/>
  <c r="E55" i="36"/>
  <c r="AA59" i="36" s="1"/>
  <c r="V56" i="36"/>
  <c r="V55" i="36"/>
  <c r="J73" i="36"/>
  <c r="Z48" i="36"/>
  <c r="R48" i="36"/>
  <c r="J48" i="36"/>
  <c r="E48" i="36"/>
  <c r="Y48" i="36"/>
  <c r="Q48" i="36"/>
  <c r="I48" i="36"/>
  <c r="X48" i="36"/>
  <c r="P48" i="36"/>
  <c r="H48" i="36"/>
  <c r="W48" i="36"/>
  <c r="O48" i="36"/>
  <c r="G48" i="36"/>
  <c r="V48" i="36"/>
  <c r="N48" i="36"/>
  <c r="F48" i="36"/>
  <c r="U48" i="36"/>
  <c r="M48" i="36"/>
  <c r="L49" i="36"/>
  <c r="Q73" i="36"/>
  <c r="D77" i="36"/>
  <c r="D76" i="36"/>
  <c r="K42" i="36"/>
  <c r="K49" i="36"/>
  <c r="O59" i="36" s="1"/>
  <c r="K50" i="36"/>
  <c r="O60" i="36" s="1"/>
  <c r="N56" i="36"/>
  <c r="K60" i="36" s="1"/>
  <c r="N55" i="36"/>
  <c r="K59" i="36" s="1"/>
  <c r="AC56" i="36"/>
  <c r="AC55" i="36"/>
  <c r="S49" i="36"/>
  <c r="W59" i="36" s="1"/>
  <c r="S50" i="36"/>
  <c r="W60" i="36" s="1"/>
  <c r="F56" i="36"/>
  <c r="I60" i="36" s="1"/>
  <c r="F55" i="36"/>
  <c r="I59" i="36" s="1"/>
  <c r="AA55" i="36"/>
  <c r="X73" i="36"/>
  <c r="P73" i="36"/>
  <c r="H73" i="36"/>
  <c r="W73" i="36"/>
  <c r="O73" i="36"/>
  <c r="G73" i="36"/>
  <c r="V73" i="36"/>
  <c r="N73" i="36"/>
  <c r="F73" i="36"/>
  <c r="AA73" i="36"/>
  <c r="U73" i="36"/>
  <c r="M73" i="36"/>
  <c r="E73" i="36"/>
  <c r="T73" i="36"/>
  <c r="L73" i="36"/>
  <c r="D73" i="36"/>
  <c r="S73" i="36"/>
  <c r="K73" i="36"/>
  <c r="D44" i="36"/>
  <c r="D43" i="36"/>
  <c r="AD56" i="36"/>
  <c r="H60" i="36" s="1"/>
  <c r="AD55" i="36"/>
  <c r="H59" i="36" s="1"/>
  <c r="I36" i="36"/>
  <c r="H36" i="36"/>
  <c r="G36" i="36"/>
  <c r="F36" i="36"/>
  <c r="E36" i="36"/>
  <c r="D36" i="36"/>
  <c r="D49" i="36"/>
  <c r="U56" i="36"/>
  <c r="U55" i="36"/>
  <c r="I73" i="36"/>
  <c r="D84" i="36"/>
  <c r="I54" i="36"/>
  <c r="Q54" i="36"/>
  <c r="Y54" i="36"/>
  <c r="H82" i="36"/>
  <c r="J54" i="36"/>
  <c r="R54" i="36"/>
  <c r="Z54" i="36"/>
  <c r="I82" i="36"/>
  <c r="K54" i="36"/>
  <c r="S54" i="36"/>
  <c r="J82" i="36"/>
  <c r="F6" i="35"/>
  <c r="G6" i="35" s="1"/>
  <c r="H6" i="35" s="1"/>
  <c r="H7" i="35"/>
  <c r="I4" i="35"/>
  <c r="H8" i="35"/>
  <c r="I5" i="35"/>
  <c r="AC6" i="35"/>
  <c r="K27" i="35"/>
  <c r="AD27" i="35" s="1"/>
  <c r="S27" i="35"/>
  <c r="H6" i="42" l="1"/>
  <c r="H5" i="42"/>
  <c r="I3" i="42"/>
  <c r="H4" i="42"/>
  <c r="AY5" i="40"/>
  <c r="AX4" i="40" s="1"/>
  <c r="AV18" i="40"/>
  <c r="AU17" i="40"/>
  <c r="I49" i="36"/>
  <c r="M59" i="36" s="1"/>
  <c r="I50" i="36"/>
  <c r="M60" i="36" s="1"/>
  <c r="L36" i="36"/>
  <c r="D38" i="36"/>
  <c r="D37" i="36"/>
  <c r="Q49" i="36"/>
  <c r="V59" i="36" s="1"/>
  <c r="Q50" i="36"/>
  <c r="V60" i="36" s="1"/>
  <c r="S56" i="36"/>
  <c r="S55" i="36"/>
  <c r="Z56" i="36"/>
  <c r="Z55" i="36"/>
  <c r="M50" i="36"/>
  <c r="Q60" i="36" s="1"/>
  <c r="M49" i="36"/>
  <c r="Q59" i="36" s="1"/>
  <c r="H49" i="36"/>
  <c r="L59" i="36" s="1"/>
  <c r="H50" i="36"/>
  <c r="L60" i="36" s="1"/>
  <c r="R49" i="36"/>
  <c r="R50" i="36"/>
  <c r="R56" i="36"/>
  <c r="R55" i="36"/>
  <c r="U49" i="36"/>
  <c r="Y59" i="36" s="1"/>
  <c r="U50" i="36"/>
  <c r="Y60" i="36" s="1"/>
  <c r="P49" i="36"/>
  <c r="U59" i="36" s="1"/>
  <c r="P50" i="36"/>
  <c r="U60" i="36" s="1"/>
  <c r="Z49" i="36"/>
  <c r="AE59" i="36" s="1"/>
  <c r="Z50" i="36"/>
  <c r="AE60" i="36" s="1"/>
  <c r="J56" i="36"/>
  <c r="J55" i="36"/>
  <c r="F49" i="36"/>
  <c r="E59" i="36" s="1"/>
  <c r="F50" i="36"/>
  <c r="E60" i="36" s="1"/>
  <c r="X49" i="36"/>
  <c r="AD59" i="36" s="1"/>
  <c r="X50" i="36"/>
  <c r="AD60" i="36" s="1"/>
  <c r="N49" i="36"/>
  <c r="R59" i="36" s="1"/>
  <c r="N50" i="36"/>
  <c r="R60" i="36" s="1"/>
  <c r="Y55" i="36"/>
  <c r="Y56" i="36"/>
  <c r="V49" i="36"/>
  <c r="V50" i="36"/>
  <c r="Q55" i="36"/>
  <c r="Q56" i="36"/>
  <c r="G49" i="36"/>
  <c r="J59" i="36" s="1"/>
  <c r="G50" i="36"/>
  <c r="J60" i="36" s="1"/>
  <c r="Y49" i="36"/>
  <c r="Y50" i="36"/>
  <c r="K56" i="36"/>
  <c r="G60" i="36" s="1"/>
  <c r="K55" i="36"/>
  <c r="G59" i="36" s="1"/>
  <c r="I55" i="36"/>
  <c r="Z59" i="36" s="1"/>
  <c r="I56" i="36"/>
  <c r="Z60" i="36" s="1"/>
  <c r="O49" i="36"/>
  <c r="O50" i="36"/>
  <c r="E50" i="36"/>
  <c r="D60" i="36" s="1"/>
  <c r="E49" i="36"/>
  <c r="D59" i="36" s="1"/>
  <c r="D75" i="36"/>
  <c r="D74" i="36"/>
  <c r="W49" i="36"/>
  <c r="AC59" i="36" s="1"/>
  <c r="W50" i="36"/>
  <c r="AC60" i="36" s="1"/>
  <c r="J49" i="36"/>
  <c r="N59" i="36" s="1"/>
  <c r="J50" i="36"/>
  <c r="N60" i="36" s="1"/>
  <c r="H9" i="35"/>
  <c r="I6" i="35"/>
  <c r="I8" i="35"/>
  <c r="J5" i="35"/>
  <c r="J4" i="35"/>
  <c r="I7" i="35"/>
  <c r="I6" i="42" l="1"/>
  <c r="I5" i="42"/>
  <c r="J3" i="42"/>
  <c r="I4" i="42"/>
  <c r="AX5" i="40"/>
  <c r="AW4" i="40" s="1"/>
  <c r="AU18" i="40"/>
  <c r="AT17" i="40" s="1"/>
  <c r="K4" i="35"/>
  <c r="J7" i="35"/>
  <c r="K5" i="35"/>
  <c r="J8" i="35"/>
  <c r="J6" i="35"/>
  <c r="I9" i="35"/>
  <c r="J5" i="42" l="1"/>
  <c r="K3" i="42"/>
  <c r="J4" i="42"/>
  <c r="J6" i="42"/>
  <c r="AT18" i="40"/>
  <c r="AS17" i="40"/>
  <c r="AW5" i="40"/>
  <c r="AV4" i="40" s="1"/>
  <c r="K7" i="35"/>
  <c r="L4" i="35"/>
  <c r="K6" i="35"/>
  <c r="J9" i="35"/>
  <c r="L5" i="35"/>
  <c r="K8" i="35"/>
  <c r="K6" i="42" l="1"/>
  <c r="K4" i="42"/>
  <c r="K5" i="42"/>
  <c r="L3" i="42"/>
  <c r="AV5" i="40"/>
  <c r="AU4" i="40"/>
  <c r="AS18" i="40"/>
  <c r="AR17" i="40" s="1"/>
  <c r="L8" i="35"/>
  <c r="M5" i="35"/>
  <c r="L6" i="35"/>
  <c r="K9" i="35"/>
  <c r="M4" i="35"/>
  <c r="L7" i="35"/>
  <c r="L6" i="42" l="1"/>
  <c r="L5" i="42"/>
  <c r="M3" i="42"/>
  <c r="L4" i="42"/>
  <c r="AR18" i="40"/>
  <c r="AQ17" i="40"/>
  <c r="AU5" i="40"/>
  <c r="AT4" i="40"/>
  <c r="M7" i="35"/>
  <c r="N4" i="35"/>
  <c r="L9" i="35"/>
  <c r="M6" i="35"/>
  <c r="N5" i="35"/>
  <c r="M8" i="35"/>
  <c r="M6" i="42" l="1"/>
  <c r="M5" i="42"/>
  <c r="N3" i="42"/>
  <c r="M4" i="42"/>
  <c r="AT5" i="40"/>
  <c r="AS4" i="40" s="1"/>
  <c r="AP17" i="40"/>
  <c r="AQ18" i="40"/>
  <c r="N8" i="35"/>
  <c r="O5" i="35"/>
  <c r="M9" i="35"/>
  <c r="N6" i="35"/>
  <c r="N7" i="35"/>
  <c r="O4" i="35"/>
  <c r="N5" i="42" l="1"/>
  <c r="O3" i="42"/>
  <c r="N4" i="42"/>
  <c r="N6" i="42"/>
  <c r="AS5" i="40"/>
  <c r="AR4" i="40"/>
  <c r="AP18" i="40"/>
  <c r="AO17" i="40"/>
  <c r="O7" i="35"/>
  <c r="P4" i="35"/>
  <c r="N9" i="35"/>
  <c r="O6" i="35"/>
  <c r="O8" i="35"/>
  <c r="P5" i="35"/>
  <c r="O4" i="42" l="1"/>
  <c r="O6" i="42"/>
  <c r="O5" i="42"/>
  <c r="P3" i="42"/>
  <c r="AR5" i="40"/>
  <c r="AQ4" i="40"/>
  <c r="AO18" i="40"/>
  <c r="AN17" i="40"/>
  <c r="Q4" i="35"/>
  <c r="P7" i="35"/>
  <c r="P8" i="35"/>
  <c r="Q5" i="35"/>
  <c r="O9" i="35"/>
  <c r="P6" i="35"/>
  <c r="P6" i="42" l="1"/>
  <c r="P5" i="42"/>
  <c r="Q3" i="42"/>
  <c r="P4" i="42"/>
  <c r="AQ5" i="40"/>
  <c r="AP4" i="40" s="1"/>
  <c r="AN18" i="40"/>
  <c r="AM17" i="40"/>
  <c r="R4" i="35"/>
  <c r="Q7" i="35"/>
  <c r="Q6" i="35"/>
  <c r="P9" i="35"/>
  <c r="Q8" i="35"/>
  <c r="R5" i="35"/>
  <c r="Q6" i="42" l="1"/>
  <c r="Q5" i="42"/>
  <c r="R3" i="42"/>
  <c r="Q4" i="42"/>
  <c r="AP5" i="40"/>
  <c r="AO4" i="40" s="1"/>
  <c r="AM18" i="40"/>
  <c r="AL17" i="40" s="1"/>
  <c r="S4" i="35"/>
  <c r="R7" i="35"/>
  <c r="S5" i="35"/>
  <c r="R8" i="35"/>
  <c r="R6" i="35"/>
  <c r="Q9" i="35"/>
  <c r="R5" i="42" l="1"/>
  <c r="S3" i="42"/>
  <c r="R4" i="42"/>
  <c r="R6" i="42"/>
  <c r="AL18" i="40"/>
  <c r="AK17" i="40" s="1"/>
  <c r="AO5" i="40"/>
  <c r="AN4" i="40"/>
  <c r="T4" i="35"/>
  <c r="S7" i="35"/>
  <c r="S6" i="35"/>
  <c r="R9" i="35"/>
  <c r="T5" i="35"/>
  <c r="S8" i="35"/>
  <c r="S6" i="42" l="1"/>
  <c r="S4" i="42"/>
  <c r="S5" i="42"/>
  <c r="T3" i="42"/>
  <c r="AK18" i="40"/>
  <c r="AJ17" i="40" s="1"/>
  <c r="AN5" i="40"/>
  <c r="AM4" i="40"/>
  <c r="U5" i="35"/>
  <c r="T8" i="35"/>
  <c r="T7" i="35"/>
  <c r="U4" i="35"/>
  <c r="T6" i="35"/>
  <c r="S9" i="35"/>
  <c r="T6" i="42" l="1"/>
  <c r="T5" i="42"/>
  <c r="U3" i="42"/>
  <c r="T4" i="42"/>
  <c r="AJ18" i="40"/>
  <c r="AI17" i="40"/>
  <c r="AM5" i="40"/>
  <c r="AL4" i="40" s="1"/>
  <c r="T9" i="35"/>
  <c r="U6" i="35"/>
  <c r="V5" i="35"/>
  <c r="U8" i="35"/>
  <c r="U7" i="35"/>
  <c r="V4" i="35"/>
  <c r="U6" i="42" l="1"/>
  <c r="U5" i="42"/>
  <c r="V3" i="42"/>
  <c r="U4" i="42"/>
  <c r="AL5" i="40"/>
  <c r="AK4" i="40" s="1"/>
  <c r="AI18" i="40"/>
  <c r="AH17" i="40" s="1"/>
  <c r="V6" i="35"/>
  <c r="U9" i="35"/>
  <c r="W5" i="35"/>
  <c r="V8" i="35"/>
  <c r="V7" i="35"/>
  <c r="W4" i="35"/>
  <c r="V5" i="42" l="1"/>
  <c r="W3" i="42"/>
  <c r="V4" i="42"/>
  <c r="V6" i="42"/>
  <c r="AH18" i="40"/>
  <c r="AG17" i="40"/>
  <c r="AK5" i="40"/>
  <c r="AJ4" i="40"/>
  <c r="W8" i="35"/>
  <c r="X5" i="35"/>
  <c r="W6" i="35"/>
  <c r="V9" i="35"/>
  <c r="W7" i="35"/>
  <c r="X4" i="35"/>
  <c r="W4" i="42" l="1"/>
  <c r="W6" i="42"/>
  <c r="W5" i="42"/>
  <c r="X3" i="42"/>
  <c r="AG18" i="40"/>
  <c r="AF17" i="40"/>
  <c r="AJ5" i="40"/>
  <c r="AI4" i="40"/>
  <c r="X6" i="35"/>
  <c r="W9" i="35"/>
  <c r="Y4" i="35"/>
  <c r="X7" i="35"/>
  <c r="X8" i="35"/>
  <c r="Y5" i="35"/>
  <c r="X6" i="42" l="1"/>
  <c r="X5" i="42"/>
  <c r="Y3" i="42"/>
  <c r="X4" i="42"/>
  <c r="AF18" i="40"/>
  <c r="AE17" i="40"/>
  <c r="AI5" i="40"/>
  <c r="AH4" i="40" s="1"/>
  <c r="Y8" i="35"/>
  <c r="Z5" i="35"/>
  <c r="Z4" i="35"/>
  <c r="Y7" i="35"/>
  <c r="X9" i="35"/>
  <c r="Y6" i="35"/>
  <c r="Y6" i="42" l="1"/>
  <c r="Y5" i="42"/>
  <c r="Z3" i="42"/>
  <c r="Y4" i="42"/>
  <c r="AH5" i="40"/>
  <c r="AG4" i="40" s="1"/>
  <c r="AE18" i="40"/>
  <c r="AD17" i="40" s="1"/>
  <c r="Z6" i="35"/>
  <c r="Y9" i="35"/>
  <c r="AA4" i="35"/>
  <c r="AA7" i="35" s="1"/>
  <c r="Z7" i="35"/>
  <c r="AA5" i="35"/>
  <c r="AA8" i="35" s="1"/>
  <c r="Z8" i="35"/>
  <c r="Z6" i="42" l="1"/>
  <c r="Z5" i="42"/>
  <c r="AA3" i="42"/>
  <c r="Z4" i="42"/>
  <c r="AD18" i="40"/>
  <c r="AC17" i="40" s="1"/>
  <c r="AG5" i="40"/>
  <c r="AF4" i="40"/>
  <c r="AA6" i="35"/>
  <c r="AA9" i="35" s="1"/>
  <c r="Z9" i="35"/>
  <c r="AA6" i="42" l="1"/>
  <c r="AA4" i="42"/>
  <c r="AA5" i="42"/>
  <c r="AB3" i="42"/>
  <c r="AC18" i="40"/>
  <c r="AB17" i="40"/>
  <c r="AF5" i="40"/>
  <c r="AE4" i="40"/>
  <c r="AB6" i="42" l="1"/>
  <c r="AC6" i="42" s="1"/>
  <c r="AB5" i="42"/>
  <c r="AC5" i="42" s="1"/>
  <c r="AB4" i="42"/>
  <c r="AC4" i="42" s="1"/>
  <c r="AC3" i="42"/>
  <c r="AE5" i="40"/>
  <c r="AD4" i="40" s="1"/>
  <c r="AB18" i="40"/>
  <c r="AA17" i="40" s="1"/>
  <c r="AD5" i="42" l="1"/>
  <c r="AD4" i="42"/>
  <c r="AA18" i="40"/>
  <c r="Z17" i="40" s="1"/>
  <c r="AD5" i="40"/>
  <c r="AC4" i="40" s="1"/>
  <c r="AC5" i="40" l="1"/>
  <c r="AB4" i="40"/>
  <c r="Z18" i="40"/>
  <c r="Y17" i="40"/>
  <c r="AB5" i="40" l="1"/>
  <c r="AA4" i="40"/>
  <c r="Y18" i="40"/>
  <c r="X17" i="40"/>
  <c r="AA5" i="40" l="1"/>
  <c r="Z4" i="40" s="1"/>
  <c r="X18" i="40"/>
  <c r="W17" i="40"/>
  <c r="Z5" i="40" l="1"/>
  <c r="Y4" i="40" s="1"/>
  <c r="V17" i="40"/>
  <c r="W18" i="40"/>
  <c r="Y5" i="40" l="1"/>
  <c r="X4" i="40"/>
  <c r="V18" i="40"/>
  <c r="U17" i="40" s="1"/>
  <c r="U18" i="40" l="1"/>
  <c r="T17" i="40" s="1"/>
  <c r="X5" i="40"/>
  <c r="W4" i="40"/>
  <c r="T18" i="40" l="1"/>
  <c r="S17" i="40" s="1"/>
  <c r="V4" i="40"/>
  <c r="W5" i="40"/>
  <c r="S18" i="40" l="1"/>
  <c r="R17" i="40" s="1"/>
  <c r="V5" i="40"/>
  <c r="U4" i="40" s="1"/>
  <c r="U5" i="40" l="1"/>
  <c r="T4" i="40"/>
  <c r="R18" i="40"/>
  <c r="Q17" i="40" s="1"/>
  <c r="Q18" i="40" l="1"/>
  <c r="P17" i="40"/>
  <c r="T5" i="40"/>
  <c r="S4" i="40" s="1"/>
  <c r="S5" i="40" l="1"/>
  <c r="R4" i="40" s="1"/>
  <c r="P18" i="40"/>
  <c r="O17" i="40"/>
  <c r="R5" i="40" l="1"/>
  <c r="Q4" i="40" s="1"/>
  <c r="N17" i="40"/>
  <c r="O18" i="40"/>
  <c r="Q5" i="40" l="1"/>
  <c r="P4" i="40"/>
  <c r="N18" i="40"/>
  <c r="M17" i="40" s="1"/>
  <c r="M18" i="40" l="1"/>
  <c r="L17" i="40"/>
  <c r="P5" i="40"/>
  <c r="O4" i="40" s="1"/>
  <c r="O5" i="40" l="1"/>
  <c r="N4" i="40" s="1"/>
  <c r="L18" i="40"/>
  <c r="K17" i="40" s="1"/>
  <c r="K18" i="40" l="1"/>
  <c r="J17" i="40" s="1"/>
  <c r="J18" i="40" s="1"/>
  <c r="N5" i="40"/>
  <c r="M4" i="40" s="1"/>
  <c r="M5" i="40" s="1"/>
  <c r="B5" i="33" l="1"/>
  <c r="T5" i="32"/>
  <c r="U5" i="32"/>
  <c r="K12" i="34" l="1"/>
  <c r="L12" i="34"/>
  <c r="J12" i="34"/>
  <c r="G10" i="34"/>
  <c r="G9" i="34"/>
  <c r="C12" i="34"/>
  <c r="D12" i="34"/>
  <c r="E12" i="34"/>
  <c r="F12" i="34"/>
  <c r="G12" i="34"/>
  <c r="B12" i="34"/>
  <c r="G11" i="34"/>
  <c r="Q5" i="32"/>
  <c r="P5" i="32"/>
  <c r="J5" i="33" l="1"/>
  <c r="K5" i="33"/>
  <c r="L5" i="33"/>
  <c r="M5" i="33"/>
  <c r="N5" i="33"/>
  <c r="O5" i="33"/>
  <c r="P5" i="33"/>
  <c r="I5" i="33"/>
  <c r="M4" i="33"/>
  <c r="N4" i="33"/>
  <c r="O4" i="33"/>
  <c r="P4" i="33"/>
  <c r="K4" i="33"/>
  <c r="L4" i="33"/>
  <c r="J4" i="33"/>
  <c r="I4" i="33"/>
  <c r="I3" i="33"/>
  <c r="H5" i="33"/>
  <c r="H4" i="33"/>
  <c r="G5" i="33"/>
  <c r="G4" i="33"/>
  <c r="F5" i="33"/>
  <c r="F4" i="33"/>
  <c r="D5" i="33"/>
  <c r="D4" i="33"/>
  <c r="C5" i="33"/>
  <c r="C4" i="33"/>
  <c r="B4" i="33"/>
</calcChain>
</file>

<file path=xl/comments1.xml><?xml version="1.0" encoding="utf-8"?>
<comments xmlns="http://schemas.openxmlformats.org/spreadsheetml/2006/main">
  <authors>
    <author>Kalifi Ferretti-Gallon (kfgallon@cgdev.org)</author>
  </authors>
  <commentList>
    <comment ref="G3" authorId="0">
      <text>
        <r>
          <rPr>
            <b/>
            <sz val="9"/>
            <color indexed="81"/>
            <rFont val="Tahoma"/>
            <family val="2"/>
          </rPr>
          <t>Kalifi Ferretti-Gallon (kfgallon@cgdev.org):</t>
        </r>
        <r>
          <rPr>
            <sz val="9"/>
            <color indexed="81"/>
            <rFont val="Tahoma"/>
            <family val="2"/>
          </rPr>
          <t xml:space="preserve">
What is the BAU versus other measures?</t>
        </r>
      </text>
    </comment>
  </commentList>
</comments>
</file>

<file path=xl/sharedStrings.xml><?xml version="1.0" encoding="utf-8"?>
<sst xmlns="http://schemas.openxmlformats.org/spreadsheetml/2006/main" count="1874" uniqueCount="594">
  <si>
    <t>Source</t>
  </si>
  <si>
    <t>Mexico</t>
  </si>
  <si>
    <t>Indonesia</t>
  </si>
  <si>
    <t>Link</t>
  </si>
  <si>
    <t>http://www.mmechanisms.org/document/country/IDN/Indonesia_ghg_cost_curve_english.pdf</t>
  </si>
  <si>
    <t>United States</t>
  </si>
  <si>
    <t>European Union</t>
  </si>
  <si>
    <t>Brazil</t>
  </si>
  <si>
    <t>GtCO2e</t>
  </si>
  <si>
    <t>Gt CO2</t>
  </si>
  <si>
    <t>http://unfccc.int/files/adaptation/application/pdf/indonesianeeds.pdf</t>
  </si>
  <si>
    <t>MtCO2e</t>
  </si>
  <si>
    <t>MTC</t>
  </si>
  <si>
    <t>Country</t>
  </si>
  <si>
    <t>Overlap</t>
  </si>
  <si>
    <t>Bajželj, Bojana, et al. "Importance of food-demand management for climate mitigation." Nature Climate Change (2014): 924-929.</t>
  </si>
  <si>
    <t>Creyts, Jon, Anton Derkach and Scott Nyquist. "Reducing U.S. Greenhouse Gas Emissions: How Much at What Cost? U.S. Greenhouse Gas Abatement Mapping Initiative." Executive Report. 2007.</t>
  </si>
  <si>
    <t>Wesselink, Bart and Yvonne Deng. "Sectoral Emission Reduction Potentials and Economic Costs for Climate Change." 2009.</t>
  </si>
  <si>
    <t>https://cleanenergysolutions.org/content/brazil-low-carbon-country-case-study</t>
  </si>
  <si>
    <t>http://www.mckinsey.com/client_service/sustainability/latest_thinking/greenhouse_gas_abatement_cost_curves</t>
  </si>
  <si>
    <t>http://www.nature.com/nclimate/journal/v4/n10/full/nclimate2353.html</t>
  </si>
  <si>
    <t>http://www.sciencedirect.com/science/article/pii/S0959378014001046</t>
  </si>
  <si>
    <t>http://siteresources.worldbank.org/INTLAC/Resources/Medec_final_Oct15_2009_Eng.pdf</t>
  </si>
  <si>
    <t>http://www.interciencia.org/v20_06/art12/</t>
  </si>
  <si>
    <t>http://www.mckinsey.com/client_service/sustainability/latest_thinking/reducing_us_greenhouse_gas_emissions</t>
  </si>
  <si>
    <t>http://www.ecofys.com/files/files/serpec_executive_summary.pdf</t>
  </si>
  <si>
    <t>MtCO2</t>
  </si>
  <si>
    <t xml:space="preserve"> </t>
  </si>
  <si>
    <t xml:space="preserve">   </t>
  </si>
  <si>
    <t>Authors:</t>
  </si>
  <si>
    <t xml:space="preserve">Date: </t>
  </si>
  <si>
    <t xml:space="preserve">About the database: </t>
  </si>
  <si>
    <t>Inclusion criteria:</t>
  </si>
  <si>
    <t>Citation:</t>
  </si>
  <si>
    <t>Support:</t>
  </si>
  <si>
    <t>Database of Land Use Mitigation Potential</t>
  </si>
  <si>
    <t>Contacts:</t>
  </si>
  <si>
    <t>Doug Boucher and Kalifi Ferretti-Gallon</t>
  </si>
  <si>
    <t>As reported in study</t>
  </si>
  <si>
    <r>
      <t>dboucher@ucsusa.org, kalifi.fg@gmail.com</t>
    </r>
    <r>
      <rPr>
        <u/>
        <sz val="12"/>
        <rFont val="Calibri"/>
        <family val="2"/>
      </rPr>
      <t xml:space="preserve"> </t>
    </r>
  </si>
  <si>
    <t>December, 2014</t>
  </si>
  <si>
    <t xml:space="preserve"> We included studies and reports in the database based on the following criteria:   
1. Studies must be publicly available, including both grey and peer-reviewed published literature. 
2. Estimates in studies must either be country specific or region specific. Studies that give global estimates without breaking estimates down by region or country are therefore not included.
3. Estimates in studies must be final. Estimates are excluded if authors indicate these numbers are preliminary and not to be cited.
4. Studies must have explicit reference and projection estimates for years 2020 and 2030, OR,
5. If reference and/or projection estimates are not given explicitly for 2020 and/or 2030, the study-period must allow estimates for 2020 and 2030 to be interpolated.
6. Reference scenarios must be available.
</t>
  </si>
  <si>
    <t>The Database of Land Use Mitigation Potential was developed with the support of the 
Climate and Land Use Alliance and Union of Concerned Scientists members.</t>
  </si>
  <si>
    <t>Are estimates to be added (i.e. complementary) or overlapping?</t>
  </si>
  <si>
    <t>Converted to GT CO2eq</t>
  </si>
  <si>
    <t>Mitigation (baseline-action) 2020 (GT CO2eq)</t>
  </si>
  <si>
    <t>2030 (GT CO2eq)</t>
  </si>
  <si>
    <t>2020  (GT CO2eq)</t>
  </si>
  <si>
    <t>Mitigation (baseline-action) 2030 (GT CO2eq)</t>
  </si>
  <si>
    <t>Mitigation (GT CO2eq)</t>
  </si>
  <si>
    <t>Unit in study</t>
  </si>
  <si>
    <t>Country's  total mitigation</t>
  </si>
  <si>
    <t>Country total 2020</t>
  </si>
  <si>
    <t>Country total 2030</t>
  </si>
  <si>
    <t>Year</t>
  </si>
  <si>
    <t>Low</t>
  </si>
  <si>
    <t>High</t>
  </si>
  <si>
    <t>Median</t>
  </si>
  <si>
    <t>Summary - Estimated AFOLU Mitigation Potentials (Gt CO2eq/year)</t>
  </si>
  <si>
    <t>DRC</t>
  </si>
  <si>
    <t>China</t>
  </si>
  <si>
    <t>India</t>
  </si>
  <si>
    <t>Sum</t>
  </si>
  <si>
    <t>Woetzel, Jonathan, Martin Joerss and R. Bradley. "China's green revolution: prioritizing Technologies to achieve energy and environmental sustainability." 2009.</t>
  </si>
  <si>
    <t>Gt CO2e</t>
  </si>
  <si>
    <t>Gupta, Rajat, Shirish Sankhe and Sahana Sarma. Environmental and Energy Sustainability: An Approach for India. New Delhi: McKinsey &amp; Company, 2009.</t>
  </si>
  <si>
    <t>Democratic Republic of the Congo</t>
  </si>
  <si>
    <t>The Ministry of the Environment, Nature Conservation and Tourism. "The Democratic Republic of congo's REDD+ Potential." 2009.</t>
  </si>
  <si>
    <t>http://unfccc.int/files/methods/redd/submissions/application/pdf/redd_20100708_drc_2-20091211.pdf</t>
  </si>
  <si>
    <t>Data Source</t>
  </si>
  <si>
    <t>Sector</t>
  </si>
  <si>
    <t>Definition of Sector</t>
  </si>
  <si>
    <r>
      <rPr>
        <b/>
        <sz val="18"/>
        <color theme="1"/>
        <rFont val="Calibri"/>
        <family val="2"/>
        <scheme val="minor"/>
      </rPr>
      <t>Study Quality</t>
    </r>
    <r>
      <rPr>
        <sz val="11"/>
        <color theme="1"/>
        <rFont val="Calibri"/>
        <family val="2"/>
        <scheme val="minor"/>
      </rPr>
      <t xml:space="preserve">
</t>
    </r>
  </si>
  <si>
    <t>Assumptions</t>
  </si>
  <si>
    <t>1= very good, published in recognized institution, data explicit in either text or table
2= good, published in recognized institution, data explicit in either text or table, but assumptions must be made for 2020 and 2030
3=poor, publishers not well recognized, data not explicit in text or table, must be interpolated based on given graphs.</t>
  </si>
  <si>
    <t>Exhibit 4</t>
  </si>
  <si>
    <t>*No explicit numbers for 2020 and 2030, had to be interpolated with given total emissions per sector and percentage change rate</t>
  </si>
  <si>
    <t>Supplementary Table 19 - Calculated land-use change emissions (due to cropland, pasture and settlement expansion) by region and scenario (GtCO2e/year)</t>
  </si>
  <si>
    <t xml:space="preserve">Calculated land-use change emissions </t>
  </si>
  <si>
    <t>(due to cropland, pasture and settlement expansion)</t>
  </si>
  <si>
    <t>*Emissions given for global regions, country emissions based on population ratio per country/region
*Emissions per year given, 2020-2030 emissions based on per year emissions</t>
  </si>
  <si>
    <t xml:space="preserve">*No explicit number for 2020 abatement, used baud for this number
*No numbers explicit for 2020 BAU, used most recent estimate in 2005  </t>
  </si>
  <si>
    <t xml:space="preserve">Exhibit 1.4 - Environmental and Energy Sustainability: An Approach for India. (2009). McKinsey&amp; </t>
  </si>
  <si>
    <t>Agriculture</t>
  </si>
  <si>
    <t>*No estimates for abatement 2020, used BAU estimates</t>
  </si>
  <si>
    <t>Forestry</t>
  </si>
  <si>
    <t xml:space="preserve"> Within the sector, agricultural soils, enteric fermentation and manure are the main emissions sources. Projections show European agricultural emissions declining through to 2010, after which they remain relatively stable out to 2030</t>
  </si>
  <si>
    <t>Abatement measures include precision farming, adding nitrification inhibitors to soils (both reducing N2O from soils), centralised anaerobic digestion of manure (reducing N2O and CH4 emission that would otherwise occur from manure storage or application) and improvement of lifetime and efficiency of livestock (reducing enteric CH4 emissions).</t>
  </si>
  <si>
    <t>p.73</t>
  </si>
  <si>
    <t>Emissions from the agriculture and forestry sector decrease slightly, from about 100 Mt CO2e a year in 2008 to 87 Mt CO2e in 2030. Agriculture and livestock accounted for 7 percent of greenhouse gas emissions in Mexico in 2002 (SEMARNAT and INE 2006a); the baseline scenario assumes that these emissions remain at roughly the same levels in absolute terms. The forestry subsector contributes about 14 percent of greenhouse gas emissions, mostly because of deforestation. The
baseline assumes that greenhouse gas emissions from the forestry sector remain constant in absolute terms but also that, based on current reforestation and afforestation trends, net forestry emissions decline slightly over the coming decades.</t>
  </si>
  <si>
    <t>*First two abatement scenarios use "Max Removal" estimates for year 2030, there are no estimates for 2020, interpolated a linear decline by subtract ((total emitted-max removal)/(2030-2008)) from baseline year.
*Third abatement scenario did not have a total number (high greenhouse gas mitigation), default assumption is linear removal (max removal-baseline year).</t>
  </si>
  <si>
    <t>Zero-tillage maize, sugarcane ethanol, sorghum ethanol, palm oil biodiesel, Biomass electricity, fuel wood co-firing, charcoal production, forest management, wildlife management, PES, reforestation and restoration, afforestation</t>
  </si>
  <si>
    <t>Biomass electricity, fuel wood co-firing, charcoal production, forest management, wildlife management, PES</t>
  </si>
  <si>
    <t>The net balance between land use, alnd-use change, and carbon uptake</t>
  </si>
  <si>
    <t>Estimates for 2020's reference and low-carbon scenario interpolated from given graph, an approximate figure</t>
  </si>
  <si>
    <t>Figure 3.13: Emissions from Land use and Land-use Change under the New Land-use Dynamic in the Low-carbon Scenario</t>
  </si>
  <si>
    <t>Net emissions from use, change and uptake in low-carbon scenario</t>
  </si>
  <si>
    <t>*Estimates based on total emissions given for years 2011-2040, estimates derived from division of total by number of years (baseline), and division of estimates for removals followed by their subtraction from baseline estimates</t>
  </si>
  <si>
    <t>Figure 2f Mitigated Emissions</t>
  </si>
  <si>
    <t>Reduced land use change</t>
  </si>
  <si>
    <t>Smaller herd size and earlier slaughtering</t>
  </si>
  <si>
    <t>Dewan Nasional Perubahan Iklim. "Indonsia's Greenhouse Gas Abatement Cost Curve." 2010.</t>
  </si>
  <si>
    <t>Exhibit 10: "Net emissions from the forest sector are expected to constantly decrease through the reporting period but gross emissions will remain constant"</t>
  </si>
  <si>
    <t>LULUCF</t>
  </si>
  <si>
    <t>based on a net emission approach, including absorption</t>
  </si>
  <si>
    <t>*Estimates not given for 2020, used BAU 2020 estimates</t>
  </si>
  <si>
    <t>Exhibit 14: In a business as usual trajectory emissions from agriculture are expected to grow from 132 to 164 Mt CO2e by 2030</t>
  </si>
  <si>
    <t>Exhibit 12: 1,200 MtCO2e could be abated in 2030 by implementation of 9 different abatement levers</t>
  </si>
  <si>
    <t>REDD-small-holder agriculture, sustainable forest management, marginal land afforestation, fires prevention, reforestation, intensive silviculture, REDD-Intensive plantation pulpwood, REDD-Intensive plantation-palm oil</t>
  </si>
  <si>
    <t>Exhibit 15: 105 MT CO2e could be abated by improving water management in rice cultivation and the restoration of degraded land</t>
  </si>
  <si>
    <t>Improving management of water and nutrients for rice farming and restoration of degraded land</t>
  </si>
  <si>
    <t>National Council on Climate Change. "National Economic, Environment and Development Study (NEEDS) for Climate Change: Indonesia Country Study." 2009.</t>
  </si>
  <si>
    <t>Forestry, Peat and Agriculture</t>
  </si>
  <si>
    <t>BAU 2020: Total of Forestry Peat and Agriculture in Figure 6
BAU 2020: Total forestry, peat and Agriculture totaled from Figure 4</t>
  </si>
  <si>
    <t>Figure 6 and section 3.1.6</t>
  </si>
  <si>
    <t>Abatement 2020: Peat, Forestry and Agriculture
Abatement 2030: Forestry, Peatland and Agriculture</t>
  </si>
  <si>
    <t>Abatement 2020: Totals for Peat, Forestry and Agriculture were totaled from Figure 6, details of Policy reform in Table 4
Abatement 2030: FORESTRY AND PEATLAND Avoided deforestation and forest degradation account for 850 MtCO2e per year and afforestation and reforestation account for 250 MtCO2e per year. AGRICULTURE: The abatement potential for this sector is estimated to be around 105 MtCO2e per year by 2030. 850, 250 and 105 are added and then subtracted from BAU 2030</t>
  </si>
  <si>
    <t>P. 25</t>
  </si>
  <si>
    <t xml:space="preserve">Net annual emissions resulting from this deforestation and degradation will therefore change from approximately 190 Mt CO2e in 2007 to 390 to 410 Mt of CO2e in 2030. 
</t>
  </si>
  <si>
    <t>*Given estimates for end and beginning year, averaged out the cumulative emissions BAU and reduction for yearly emissions</t>
  </si>
  <si>
    <t>Nigeria</t>
  </si>
  <si>
    <t>Federal Ministry of Environmental Abuja, Nigeria. National Environmental, Economic and Development Study (NEEDS for Climate Change in Nigeria. UNFCCC, September 2010.</t>
  </si>
  <si>
    <t>United States_1.0</t>
  </si>
  <si>
    <t>United States_1.1</t>
  </si>
  <si>
    <t>United States_1.2</t>
  </si>
  <si>
    <t>United States_1.3</t>
  </si>
  <si>
    <t>China_1.1</t>
  </si>
  <si>
    <t>China_1.4</t>
  </si>
  <si>
    <t>China_1.5</t>
  </si>
  <si>
    <t>India_1.1</t>
  </si>
  <si>
    <t>India_1.2</t>
  </si>
  <si>
    <t>India_1.3</t>
  </si>
  <si>
    <t>India_1.4</t>
  </si>
  <si>
    <t>India_1.5</t>
  </si>
  <si>
    <t>European Union_1.1</t>
  </si>
  <si>
    <t>European Union_1.2</t>
  </si>
  <si>
    <t>European Union_1.3</t>
  </si>
  <si>
    <t>Mexico_1.1</t>
  </si>
  <si>
    <t>Mexico_1.2</t>
  </si>
  <si>
    <t>Mexico_1.3</t>
  </si>
  <si>
    <t>Mexico_1.4</t>
  </si>
  <si>
    <t>Mexico_1.5</t>
  </si>
  <si>
    <t>Brazil_1.1</t>
  </si>
  <si>
    <t>Brazil_1.2</t>
  </si>
  <si>
    <t>Brazil_1.3</t>
  </si>
  <si>
    <t>Brazil_1.4</t>
  </si>
  <si>
    <t>Brazil_1.5</t>
  </si>
  <si>
    <t>Brazil_1.6</t>
  </si>
  <si>
    <t>Brazil_1.7</t>
  </si>
  <si>
    <t>Brazil_1.8</t>
  </si>
  <si>
    <t>Brazil_1.9</t>
  </si>
  <si>
    <t>Indonesia_1.1</t>
  </si>
  <si>
    <t>Indonesia_1.2</t>
  </si>
  <si>
    <t>Indonesia_1.3</t>
  </si>
  <si>
    <t>Indonesia_1.4</t>
  </si>
  <si>
    <t>Indonesia_1.5</t>
  </si>
  <si>
    <t>Indonesia_1.6</t>
  </si>
  <si>
    <t>Indonesia_1.7</t>
  </si>
  <si>
    <t>Indonesia_1.8</t>
  </si>
  <si>
    <t>Indonesia_1.9</t>
  </si>
  <si>
    <t>Democratic Republic of the Congo_1.1</t>
  </si>
  <si>
    <t>China_1.0</t>
  </si>
  <si>
    <t>India_1.0</t>
  </si>
  <si>
    <t>European Union_1.0</t>
  </si>
  <si>
    <t>Mexico_1.0</t>
  </si>
  <si>
    <t>Brazil_1.0</t>
  </si>
  <si>
    <t>Indonesia_1.0</t>
  </si>
  <si>
    <t>Democratic Republic of the Congo_1.0</t>
  </si>
  <si>
    <t>Democratic Republic of the Congo_1.2</t>
  </si>
  <si>
    <t>Democratic Republic of the Congo_1.3</t>
  </si>
  <si>
    <t>Democratic Republic of the Congo_1.4</t>
  </si>
  <si>
    <t>Brazil_2.0</t>
  </si>
  <si>
    <t>Scenario Name</t>
  </si>
  <si>
    <t xml:space="preserve"> "Baseline Agriculture (2005 estimates)"</t>
  </si>
  <si>
    <t>"Baseline Forestry (2005 estimates)"</t>
  </si>
  <si>
    <t>"Agriculture"</t>
  </si>
  <si>
    <t xml:space="preserve"> "Forestry"</t>
  </si>
  <si>
    <t xml:space="preserve"> "Reference" </t>
  </si>
  <si>
    <t>"Low Carbon Scenario"</t>
  </si>
  <si>
    <t>"Business as Usual"</t>
  </si>
  <si>
    <t>"Forest Management"</t>
  </si>
  <si>
    <t>"Cattle Management"</t>
  </si>
  <si>
    <t>"Scenario CT1 (BAU): Current yield rates "</t>
  </si>
  <si>
    <t>"Scenario YG3: Closure of yield gap; With 50% food waste reduction; With Healthy Diets"</t>
  </si>
  <si>
    <t>"Baseline Agriculture"</t>
  </si>
  <si>
    <t>"Forestry"</t>
  </si>
  <si>
    <t>"Reduced Agriculture"</t>
  </si>
  <si>
    <t>"Business as Usual: Forestry"</t>
  </si>
  <si>
    <t>"Business as Usual: Agriculture"</t>
  </si>
  <si>
    <t>"Abatement Scenario: all 9 levers"</t>
  </si>
  <si>
    <t>"Abatement Scenario: Agriculture"</t>
  </si>
  <si>
    <t>"Baseline"</t>
  </si>
  <si>
    <t>"MEDEC Low-Carbon Scenario: All ag/forestry measures"</t>
  </si>
  <si>
    <t>"Six REDD interventions"</t>
  </si>
  <si>
    <t>"Macro-Economic Context: historic trends hold; Conservation: same effort as in base year; Afforestation: Same reforestation rates as in base year"</t>
  </si>
  <si>
    <t>"Policy Scenario: Macro-Economic Context: Economic growth improves after 2000; Conservation: Government plans for 2000/2010 are achieved; better preservation of NPA; up to 2 million improved cook stoves disseminated by 2030; timber demand covered with improved harvesting systems in native forests"
Afforestation: Government plans to 2000/2010 are achieved; Improved survival rates for restoration plantations; up to 100% of the demand for pulp &amp; paper comes from plantations; approx. 20% of reforested lands devoted to bioenergy in 2030; 20 kha/year of shade agroforestry systems established in 2030</t>
  </si>
  <si>
    <t>"Reference Scenario: Agriculture"</t>
  </si>
  <si>
    <t>"Abatement Agriculture+ Forestry"</t>
  </si>
  <si>
    <t>Scenario Description</t>
  </si>
  <si>
    <t>Reference_1</t>
  </si>
  <si>
    <t>Reference_2</t>
  </si>
  <si>
    <t>Abatement_1</t>
  </si>
  <si>
    <t>Abatement_2</t>
  </si>
  <si>
    <t>Abatement_1.1</t>
  </si>
  <si>
    <t>Mexico_1.6</t>
  </si>
  <si>
    <t>Scenario Code</t>
  </si>
  <si>
    <t>Country Code</t>
  </si>
  <si>
    <t>GtCO2</t>
  </si>
  <si>
    <t>Unit in study code</t>
  </si>
  <si>
    <t>Formula</t>
  </si>
  <si>
    <t>As Values</t>
  </si>
  <si>
    <t>Added_2</t>
  </si>
  <si>
    <t>Added_2.1</t>
  </si>
  <si>
    <t>Scenario 2030</t>
  </si>
  <si>
    <t>No 20200 projections given, used BAU 2005</t>
  </si>
  <si>
    <t>Forest (Section 3.1.6)</t>
  </si>
  <si>
    <t>Peat (Section 3.1.6)</t>
  </si>
  <si>
    <t>Agriculture (Section 3.1.7)</t>
  </si>
  <si>
    <t>Total</t>
  </si>
  <si>
    <t>Scenario 1 2020</t>
  </si>
  <si>
    <t>Scenario 2 2020</t>
  </si>
  <si>
    <t>ER 26%</t>
  </si>
  <si>
    <t>ER 41%</t>
  </si>
  <si>
    <t>Fig. 2</t>
  </si>
  <si>
    <t>BAU 2020 (MtCO2e)</t>
  </si>
  <si>
    <t>BAU 2020 (Fig.4)</t>
  </si>
  <si>
    <t>BAU 2030 (Section 3.1.6/.7)</t>
  </si>
  <si>
    <t>BAU 2030 (MtCO2e)</t>
  </si>
  <si>
    <t>Figure. 4</t>
  </si>
  <si>
    <t>Fig. 4</t>
  </si>
  <si>
    <t>Reference_3</t>
  </si>
  <si>
    <t>Figure.4 (2020), Section 3.1.6 (2030</t>
  </si>
  <si>
    <t>Figure 4 (2020), Section 3.1.6 (2030)</t>
  </si>
  <si>
    <t>Figure 4 (2020), Section 3.1.7 (2030)</t>
  </si>
  <si>
    <t>"Peat"</t>
  </si>
  <si>
    <t>Abatement_3</t>
  </si>
  <si>
    <t>Abatement_2.1</t>
  </si>
  <si>
    <t>Forest: Scenario 1 for 2020 (Emissions Reduction by 26%)</t>
  </si>
  <si>
    <t>Peat: Scenario 1 for 2020 (Emissions Reduction by 26%)</t>
  </si>
  <si>
    <t>Agriculture: Scenario 1 for 2020 (Emissions Reduction by 26%)</t>
  </si>
  <si>
    <t>Forest: Scenario 1 for 2020 (Emissions Reduction by 41%)</t>
  </si>
  <si>
    <t>Peat: Scenario 1 for 2020 (Emissions Reduction by 41%)</t>
  </si>
  <si>
    <t>Agriculture: Scenario 1 for 2020 (Emissions Reduction by 41%)</t>
  </si>
  <si>
    <t>Indonesia_2.0</t>
  </si>
  <si>
    <t>Indonesia_2.1</t>
  </si>
  <si>
    <t>Indonesia_2.2</t>
  </si>
  <si>
    <t>Indonesia_2.3</t>
  </si>
  <si>
    <t>Indonesia_2.4</t>
  </si>
  <si>
    <t>Abatement_3.1</t>
  </si>
  <si>
    <t>N/A</t>
  </si>
  <si>
    <t>Indonesia_2.5</t>
  </si>
  <si>
    <t>Abatement_1.11</t>
  </si>
  <si>
    <t>Abatement_2.11</t>
  </si>
  <si>
    <t>Abatement_3.11</t>
  </si>
  <si>
    <t>Abatement scenario 2030</t>
  </si>
  <si>
    <t>Forumula</t>
  </si>
  <si>
    <t>Country Total 2020</t>
  </si>
  <si>
    <t>Single Scenario</t>
  </si>
  <si>
    <t/>
  </si>
  <si>
    <t>Indo_UNFCCC_Exception</t>
  </si>
  <si>
    <t>BAU_Group I Forestry and other activities</t>
  </si>
  <si>
    <t>Reference</t>
  </si>
  <si>
    <t>Abatement _Group I Forestry and other activities</t>
  </si>
  <si>
    <t>Abatement_Group II Agriculture and livestock</t>
  </si>
  <si>
    <t>BAU_Group II Agriculture and livestock</t>
  </si>
  <si>
    <t xml:space="preserve">BAU_Group III Urban growth and industrial sectors' impact on forest </t>
  </si>
  <si>
    <t>Abatement_Group III Urban growth and industrial sectors' impact on forest</t>
  </si>
  <si>
    <t>Democratic Republic of the Congo_1.5</t>
  </si>
  <si>
    <t>Democratic Republic of the Congo_1.6</t>
  </si>
  <si>
    <t>Democratic Republic of the Congo_1.7</t>
  </si>
  <si>
    <t>Added_3</t>
  </si>
  <si>
    <t>McKinsey. Pathways to a Low-Carbon Economy for Brazil. Sao Paulo: McKinsey &amp; Company, 2009.</t>
  </si>
  <si>
    <t>Masera, O.R. "Carbon Mitigation Scenarios for Mexican Forests: Methodological Considerations and Results." Intercencia 1995: 388-395.</t>
  </si>
  <si>
    <t>JJohnson, Todd M., et al. Low Carbon Development for Mexico. Conference Edition. Washington, DC: The World Bank, 2009.</t>
  </si>
  <si>
    <t>Strassburg, Bernardo B. N., et al. "When enough should be enough: Improving the use of current agricultural lands could meet production demands and spare natural habitats in Brazil." Global Environmental Change (2014): 84-97.</t>
  </si>
  <si>
    <t>de Gouvello, Christophe. "Brazil Low-Carbon Country Case Study." 2010. Clean Energy Solutions Center. Report. 21 November 2014.</t>
  </si>
  <si>
    <t>*Different estimates given for 2020 and 2030 that are not compared, perhaps compare ER 26% (less ambitious than ER 41%)  with BAU.
*</t>
  </si>
  <si>
    <t>* BAU estimates given for 2030 and 2007, assumed linear incline to get 2020 estimates</t>
  </si>
  <si>
    <t>*Total cumulative estimates given for 2030, averaged estimates from 2010 (study parameters)</t>
  </si>
  <si>
    <t>Group I - BAU - Forestry and other activities: contribute 500-940 from 2007-2030 respectively</t>
  </si>
  <si>
    <t>Forestry BAU</t>
  </si>
  <si>
    <t>Assumption: change is linear, 2030 is an average of 2 estimates</t>
  </si>
  <si>
    <t>Group II BAU - Agriculture and Livestock: cumulative contributsions of 3400 MtCO2e and 300 MtCO2e respectively from 2007-2030</t>
  </si>
  <si>
    <t>Agriculture BAU</t>
  </si>
  <si>
    <t>Group III BAUo Urban growth and industrial sectors impact on forest: 1500-2000 in 2007 and 600-650 in 2030</t>
  </si>
  <si>
    <t>Industrial and urban growth BAU</t>
  </si>
  <si>
    <t>Group I _Abatement: Forestry and Activities between 2010 and 2030 - between 182 and 192 MtCO2e</t>
  </si>
  <si>
    <t>BAU - PMA</t>
  </si>
  <si>
    <t>Group II - Abatement: Agricutlure and Livestock between 2010 and 2030, between 180 and 187in 2030</t>
  </si>
  <si>
    <t>Group III - Abatement: Urban growth and industrial sectors's impact on forest between 2010 and 2030</t>
  </si>
  <si>
    <t>Group I _Potential Mitigation Abatement (PMA): Forestry and Activities between 2010 and 2030 - between 182 and 192 MtCO2e</t>
  </si>
  <si>
    <t>Average ((182+192)/2)/((2030-2010)+1)</t>
  </si>
  <si>
    <t>Group II - Potential Mitgation Abatement (PMA): Agricutlure and Livestock between 2010 and 2030, between 180 and 187in 2030</t>
  </si>
  <si>
    <t>Average ((180+187)/2)/((2030-2010)+1)</t>
  </si>
  <si>
    <t>Group III - Potential Mitigation Abatement (PMA): between 2010 and 2030</t>
  </si>
  <si>
    <t>Average ((47+57)/2)/((2030-2010)+1)</t>
  </si>
  <si>
    <t xml:space="preserve">
</t>
  </si>
  <si>
    <t>UNFCCC</t>
  </si>
  <si>
    <t>BAU Forestry and activities linked to the Forest</t>
  </si>
  <si>
    <t>Assumption: linear increase</t>
  </si>
  <si>
    <t>BAU Agriculture and Livestock</t>
  </si>
  <si>
    <t>only want to look at forest and ag policies correct?</t>
  </si>
  <si>
    <t>BAU (Urbsan growth and industrail sectors)</t>
  </si>
  <si>
    <t>The « proactive » reference scenario (BAU),</t>
  </si>
  <si>
    <t>Sequestration</t>
  </si>
  <si>
    <t>Description of levers and emissions</t>
  </si>
  <si>
    <t>MtCo2e</t>
  </si>
  <si>
    <t>approximately  19 Mt CO2e (4% of the total mitigation potential in 2030) thanks to the reduction of extraction volumes by ha to levels that are sustainable and cause limited emissions (transition from 15 m3 per ha to 10 m3 per hectare).</t>
  </si>
  <si>
    <t xml:space="preserve">potential reduction of approximately 22 to 23 Mt CO2e (5%). </t>
  </si>
  <si>
    <t xml:space="preserve">linked to customary population activities (such as hunting) or to 
natural catastrophes (such as bushfires) : 1.2 to 1.5 Mt CO2e (less than 1%), with a cost of approximately €0,2 / t CO2e. 
</t>
  </si>
  <si>
    <t>emissions reduction potential of 61 to 65 Mt CO2e 
(15%) on marginal areas (shrubby savannah and savannah-forest 
mosaics) on the order of 7 million ha. A</t>
  </si>
  <si>
    <t xml:space="preserve">Reforestation : emissions reduction potential of 80 to 84 Mt CO2e (19%) in 4 million Ha of degraded or deforested forest areas. </t>
  </si>
  <si>
    <t xml:space="preserve"> mainly migratory slash-and-burn : abatement potential of 15 to 17 Mt CO2e in 2030 (4% of 2030 total mitigation potential), based on a prodcutivity-enhancement program that reaches 50% of households. </t>
  </si>
  <si>
    <t xml:space="preserve"> primarily destined to local markets : abatement potential of about 65 to 70 Mt CO2e (16%), derived from the creation of two programs leading to increases in productivity and targeting approximately 75% of households (please refer to following chapter). </t>
  </si>
  <si>
    <t xml:space="preserve">for the chief purpose of exporting goods (mainly palm oil) : abatement potential of approximately 80 Mt CO2e (19%). </t>
  </si>
  <si>
    <t xml:space="preserve">abatement potential of approximately 20 Mt CO2e (5%). The cost associated with this lever, estimated at about € 0,5 / t CO2e, takes into account the implementation of a program improving productivity that would reach 100% of smallholder livestock producers (please refer to strategy section for further detail). </t>
  </si>
  <si>
    <t>CT</t>
  </si>
  <si>
    <t>Current Trends: yields in each region will continue to increase at current rates</t>
  </si>
  <si>
    <t>YG</t>
  </si>
  <si>
    <t>Yield Gap: Sustainable intensification will achieve yield gap closures in all regions (or achieving the highest potential yields)</t>
  </si>
  <si>
    <t xml:space="preserve">Scenario CT1 (BAU): 
- Current yield rates </t>
  </si>
  <si>
    <t>Scenario CT2: 
- Current yield rates 
- With 50% food waste reduction</t>
  </si>
  <si>
    <t>Scenario CT3: 
-Current yield rates 
- With 50% food waste reduction 
- With healthy diets</t>
  </si>
  <si>
    <t>Scenario YG1:
- Closure of yield gap</t>
  </si>
  <si>
    <t xml:space="preserve">Scenario YG2:
- Closure of yield gap
- With 50% food waste reduction </t>
  </si>
  <si>
    <t xml:space="preserve">Scenario YG3:
- Closure of yield gap
- With 50% food waste reduction
- With Healthy Diets
</t>
  </si>
  <si>
    <t>Central Asia</t>
  </si>
  <si>
    <t>East Asia</t>
  </si>
  <si>
    <t>Eastern Europe</t>
  </si>
  <si>
    <t>Latin America</t>
  </si>
  <si>
    <t>North Africa</t>
  </si>
  <si>
    <t>Northern America</t>
  </si>
  <si>
    <t>Oceania</t>
  </si>
  <si>
    <t>South-eastern Asia</t>
  </si>
  <si>
    <t>Southern Asia</t>
  </si>
  <si>
    <t>West Europe</t>
  </si>
  <si>
    <t>Western Asia</t>
  </si>
  <si>
    <t>Sub-Saharan Africa</t>
  </si>
  <si>
    <t>North America</t>
  </si>
  <si>
    <t>Canada</t>
  </si>
  <si>
    <t>http://dmc122011.delmar.edu/socsci/rlong/data/Glance/p-tab-02.htm</t>
  </si>
  <si>
    <t>Population</t>
  </si>
  <si>
    <t>Ratio</t>
  </si>
  <si>
    <t>United States (CT1)</t>
  </si>
  <si>
    <t>United States (YG3)</t>
  </si>
  <si>
    <t>http://en.wikipedia.org/wiki/East_Asia</t>
  </si>
  <si>
    <t>Hong Kong</t>
  </si>
  <si>
    <t>Japan</t>
  </si>
  <si>
    <t>Macau</t>
  </si>
  <si>
    <t>Mongolia</t>
  </si>
  <si>
    <t>North Korea</t>
  </si>
  <si>
    <t>South Korea</t>
  </si>
  <si>
    <t>Taiwan</t>
  </si>
  <si>
    <t>China (CT1)</t>
  </si>
  <si>
    <t>China (YG3)</t>
  </si>
  <si>
    <t>South Asia</t>
  </si>
  <si>
    <t>Bangladesh</t>
  </si>
  <si>
    <t>Bhutan</t>
  </si>
  <si>
    <t>Maldives</t>
  </si>
  <si>
    <t>Nepal</t>
  </si>
  <si>
    <t>Pakistan</t>
  </si>
  <si>
    <t>Sri Lanka</t>
  </si>
  <si>
    <t>http://en.wikipedia.org/wiki/South_Asia</t>
  </si>
  <si>
    <t>India (CT1)</t>
  </si>
  <si>
    <t>India (YG3)</t>
  </si>
  <si>
    <t>Andora</t>
  </si>
  <si>
    <t>Austria</t>
  </si>
  <si>
    <t>Belgum</t>
  </si>
  <si>
    <t>Denmark</t>
  </si>
  <si>
    <t>Finalnd</t>
  </si>
  <si>
    <t>France</t>
  </si>
  <si>
    <t>Germany</t>
  </si>
  <si>
    <t>Greece</t>
  </si>
  <si>
    <t>Iceland</t>
  </si>
  <si>
    <t>Ireland</t>
  </si>
  <si>
    <t xml:space="preserve">Italy </t>
  </si>
  <si>
    <t>Liechtenstein</t>
  </si>
  <si>
    <t xml:space="preserve"> Luxembourg</t>
  </si>
  <si>
    <t>Malta</t>
  </si>
  <si>
    <t>Monaco</t>
  </si>
  <si>
    <t>Netherlands</t>
  </si>
  <si>
    <t>Norway</t>
  </si>
  <si>
    <t>Portugal</t>
  </si>
  <si>
    <t>San Marino</t>
  </si>
  <si>
    <t xml:space="preserve">Spain </t>
  </si>
  <si>
    <t>Sweden</t>
  </si>
  <si>
    <t>Switzerland</t>
  </si>
  <si>
    <t>United Kingdom</t>
  </si>
  <si>
    <t>CT1</t>
  </si>
  <si>
    <t>YG3</t>
  </si>
  <si>
    <t>Russia</t>
  </si>
  <si>
    <t>Slovakia</t>
  </si>
  <si>
    <t>Czech Republic</t>
  </si>
  <si>
    <t>Poland</t>
  </si>
  <si>
    <t>Hungary</t>
  </si>
  <si>
    <t xml:space="preserve">Romania </t>
  </si>
  <si>
    <t>Moldova</t>
  </si>
  <si>
    <t>Croatia</t>
  </si>
  <si>
    <t>Lithuania</t>
  </si>
  <si>
    <t>Latvia</t>
  </si>
  <si>
    <t>Estonia</t>
  </si>
  <si>
    <t>Slovenia</t>
  </si>
  <si>
    <t>Bulgaria</t>
  </si>
  <si>
    <t>Ukraine</t>
  </si>
  <si>
    <t>Belarus</t>
  </si>
  <si>
    <t>Serbia</t>
  </si>
  <si>
    <t>Montegnegro</t>
  </si>
  <si>
    <t>Bosnia and Herzegovina</t>
  </si>
  <si>
    <t>Georgia</t>
  </si>
  <si>
    <t>Albania</t>
  </si>
  <si>
    <t>Kosovo</t>
  </si>
  <si>
    <t>Macedonia</t>
  </si>
  <si>
    <t>Turkey</t>
  </si>
  <si>
    <t>Kazakhstan</t>
  </si>
  <si>
    <t>Azerbaijan</t>
  </si>
  <si>
    <t>Armenia</t>
  </si>
  <si>
    <t>Cyprus</t>
  </si>
  <si>
    <t>Belgium</t>
  </si>
  <si>
    <t>Finland</t>
  </si>
  <si>
    <t xml:space="preserve">France </t>
  </si>
  <si>
    <t xml:space="preserve">Germany </t>
  </si>
  <si>
    <t xml:space="preserve">Greece </t>
  </si>
  <si>
    <t>Italy</t>
  </si>
  <si>
    <t>Luxembourg</t>
  </si>
  <si>
    <t>Romania</t>
  </si>
  <si>
    <t>Slovkia</t>
  </si>
  <si>
    <t>Spain</t>
  </si>
  <si>
    <t>EU CT1 Total</t>
  </si>
  <si>
    <t>EU YG3 Total</t>
  </si>
  <si>
    <t>http://en.wikipedia.org/wiki/Latin_America</t>
  </si>
  <si>
    <t>Argentina</t>
  </si>
  <si>
    <t>Bolivia</t>
  </si>
  <si>
    <t>Chile</t>
  </si>
  <si>
    <t>Colombia</t>
  </si>
  <si>
    <t>Costa Rica</t>
  </si>
  <si>
    <t>Cuba</t>
  </si>
  <si>
    <t>Dominican Republic</t>
  </si>
  <si>
    <t>Ecuador</t>
  </si>
  <si>
    <t>El Salvador</t>
  </si>
  <si>
    <t>French Guiana</t>
  </si>
  <si>
    <t>Guatemala</t>
  </si>
  <si>
    <t>Haiti</t>
  </si>
  <si>
    <t>Honduras</t>
  </si>
  <si>
    <t>Nicaragua</t>
  </si>
  <si>
    <t>Panama</t>
  </si>
  <si>
    <t>Paraguay</t>
  </si>
  <si>
    <t>Peru</t>
  </si>
  <si>
    <t>Puerto Rico</t>
  </si>
  <si>
    <t>Saint Barthelemy</t>
  </si>
  <si>
    <t>Saint martin</t>
  </si>
  <si>
    <t>Uruguay</t>
  </si>
  <si>
    <t>Venezuela</t>
  </si>
  <si>
    <t xml:space="preserve">Brazil CT1 </t>
  </si>
  <si>
    <t>Brazil YG3</t>
  </si>
  <si>
    <t>Mexico CT1</t>
  </si>
  <si>
    <t>Mexico YG3</t>
  </si>
  <si>
    <t>South East Asia</t>
  </si>
  <si>
    <t>Brunei</t>
  </si>
  <si>
    <t>Cambodia</t>
  </si>
  <si>
    <t>East Timor</t>
  </si>
  <si>
    <t>Laos</t>
  </si>
  <si>
    <t>malaysia</t>
  </si>
  <si>
    <t>Myanmar</t>
  </si>
  <si>
    <t>Phillippines</t>
  </si>
  <si>
    <t>Singapore</t>
  </si>
  <si>
    <t>Thailand</t>
  </si>
  <si>
    <t>Veitnam</t>
  </si>
  <si>
    <t>Indonesia CT1</t>
  </si>
  <si>
    <t>Indonesia YG3</t>
  </si>
  <si>
    <t>Subsaharan Africa</t>
  </si>
  <si>
    <t>Total Population</t>
  </si>
  <si>
    <t>CTI1</t>
  </si>
  <si>
    <t>Bustamante</t>
  </si>
  <si>
    <t>Table 8 Total GHG emissions in CO2 eq (Mt) emissions between 2003 and 2008</t>
  </si>
  <si>
    <t>Amazon</t>
  </si>
  <si>
    <t>Total Deforestation +
burning (Deforestation
related to pasture +
burning)</t>
  </si>
  <si>
    <t>Animal emissions</t>
  </si>
  <si>
    <t>Emissions from
burning of pastures
(until 2002)</t>
  </si>
  <si>
    <t>Cerrado</t>
  </si>
  <si>
    <t>Other Biomes</t>
  </si>
  <si>
    <t>rate of change based on 2003-2008</t>
  </si>
  <si>
    <t xml:space="preserve">Abatement </t>
  </si>
  <si>
    <t>reference</t>
  </si>
  <si>
    <t>Abatement</t>
  </si>
  <si>
    <t>abatement</t>
  </si>
  <si>
    <t xml:space="preserve">Reference </t>
  </si>
  <si>
    <t>Abatement Details</t>
  </si>
  <si>
    <t>agriculture</t>
  </si>
  <si>
    <t>improved corplan dmangement in rice cultviation</t>
  </si>
  <si>
    <t>other improvements</t>
  </si>
  <si>
    <t>forest</t>
  </si>
  <si>
    <t>increasing forest cover</t>
  </si>
  <si>
    <t>better forest managemetn</t>
  </si>
  <si>
    <t>Abatement details</t>
  </si>
  <si>
    <t>Afforestation and Reforestation</t>
  </si>
  <si>
    <t>Forest mangement</t>
  </si>
  <si>
    <t>Grassland Managemnet</t>
  </si>
  <si>
    <t>Livestock Management</t>
  </si>
  <si>
    <t>Methane Utilziation</t>
  </si>
  <si>
    <t>Cropland Mnagement and restoration</t>
  </si>
  <si>
    <t>Fertilizer Management</t>
  </si>
  <si>
    <t>Abatement 1 (mid range)</t>
  </si>
  <si>
    <t>2030 reference</t>
  </si>
  <si>
    <t>6%of overall GHG emissions in 2030(9.7)</t>
  </si>
  <si>
    <t>1990 reference</t>
  </si>
  <si>
    <t>taking into account rate of change of .3%: 5.3 multiplied by emissions at 1990</t>
  </si>
  <si>
    <t>2005 reference</t>
  </si>
  <si>
    <t>Ag percent at 2005 multipled by overall emissions</t>
  </si>
  <si>
    <t>Couldn't find a 2020, but had numbers for 1990, 2005 and 2030, plus rate of change from 1990, so I could calculate 2005 reference level. Only had 2030 abatement potential</t>
  </si>
  <si>
    <t>patential abatement by 2030</t>
  </si>
  <si>
    <t>n/a</t>
  </si>
  <si>
    <t>Agriculture and Forestry</t>
  </si>
  <si>
    <t>Baseline</t>
  </si>
  <si>
    <t>MEDEC Low-Carbon Scenario: All ag/forestry measures</t>
  </si>
  <si>
    <t>Six REDD interventions</t>
  </si>
  <si>
    <t>will not use this one, not very much info in text</t>
  </si>
  <si>
    <t>Six REDD interventions plus high ghg emissions potential</t>
  </si>
  <si>
    <t>Change rate</t>
  </si>
  <si>
    <t>Assumption: Linear decline</t>
  </si>
  <si>
    <t>No rate of change</t>
  </si>
  <si>
    <t>Successful implementation of all agriculture and forestry measures would 
mitigate about 1,700 Mt CO2
e between 2008 and 2030.</t>
  </si>
  <si>
    <t>Assumption: First two scenarios Max removal year is 2030, afterthat a linear decline subtract ((total emmitted-max removal)/(2030-2008)) per year.</t>
  </si>
  <si>
    <t>Assumption: No total emmitted for third scenario (high greenhouse gas mitigtion), default assumption is linear removal (max removal-baseline year).</t>
  </si>
  <si>
    <t>Assumption note: text assumes a non linear curve and projects net negative emissions (sequestration) by 2030 (see figure 6.2).</t>
  </si>
  <si>
    <t>Zero-tillage maize (best practice)</t>
  </si>
  <si>
    <t>Text say</t>
  </si>
  <si>
    <t>Biofuel production</t>
  </si>
  <si>
    <t>Sugarcane ethanol</t>
  </si>
  <si>
    <t>Sorghum ethanol</t>
  </si>
  <si>
    <t>Palm oil biodiesel</t>
  </si>
  <si>
    <t>REDD with biomass use</t>
  </si>
  <si>
    <t>Biomass electricity</t>
  </si>
  <si>
    <t>Fuelwood co-fi ring</t>
  </si>
  <si>
    <t>Charcoal production</t>
  </si>
  <si>
    <t>Forest management</t>
  </si>
  <si>
    <t>REDD w/o biomass</t>
  </si>
  <si>
    <t>Wildlife management</t>
  </si>
  <si>
    <t>Payment for environmental 
services</t>
  </si>
  <si>
    <t>Reforestation/afforestation</t>
  </si>
  <si>
    <t>Reforestation and restoration</t>
  </si>
  <si>
    <t>Afforestation</t>
  </si>
  <si>
    <t>Total removals from 2008-2030 mentioned in text</t>
  </si>
  <si>
    <t>Max year reductions (2030)</t>
  </si>
  <si>
    <t>Total emissions reductions</t>
  </si>
  <si>
    <t>Emissions left over to average out for 2008-2029/year</t>
  </si>
  <si>
    <t>All Ag/For interventions</t>
  </si>
  <si>
    <t>Six REDD Interventions</t>
  </si>
  <si>
    <t>High greenhouse gas mitigation potential</t>
  </si>
  <si>
    <t>Reference (Exhibit 1: Baseline emissions Split by Sector in 2005 and 2030)</t>
  </si>
  <si>
    <t>Abatement Scenario Emissions</t>
  </si>
  <si>
    <t>Abatement Management Details</t>
  </si>
  <si>
    <t>Forestation and reforestation, grassland management</t>
  </si>
  <si>
    <t>Abatement Scenario Emissions (Exhibit 3 Key Findings By Sector 2030)</t>
  </si>
  <si>
    <t>"Baseline Forestry and Agriculture"</t>
  </si>
  <si>
    <t>"Abatement Forestry and Agriculture"</t>
  </si>
  <si>
    <t>Country Total 2030</t>
  </si>
  <si>
    <t>Table of Contents</t>
  </si>
  <si>
    <t>McKinsey</t>
  </si>
  <si>
    <t>Reason for Exclusion</t>
  </si>
  <si>
    <t>Scenario</t>
  </si>
  <si>
    <t>Measures overlap or added?</t>
  </si>
  <si>
    <t>Unit</t>
  </si>
  <si>
    <t>2020  (GT)</t>
  </si>
  <si>
    <t>2030  (GT)</t>
  </si>
  <si>
    <r>
      <rPr>
        <b/>
        <sz val="18"/>
        <color theme="1"/>
        <rFont val="Calibri"/>
        <family val="2"/>
        <scheme val="minor"/>
      </rPr>
      <t>Study Quality</t>
    </r>
    <r>
      <rPr>
        <sz val="11"/>
        <color theme="1"/>
        <rFont val="Calibri"/>
        <family val="2"/>
        <scheme val="minor"/>
      </rPr>
      <t xml:space="preserve">
1= very good, published in recognized institution, data explicit in either text or table
2= good, published in recognized institution, data explicit in either text or table, but assumptions must be made for 2020 and 2030
3=poor, publishers not well recognized, data not explicit in text or table, must be interpolated based on given graphs.</t>
    </r>
  </si>
  <si>
    <t>USA</t>
  </si>
  <si>
    <t>http://www.state.gov/documents/organization/218993.pdf</t>
  </si>
  <si>
    <t xml:space="preserve">BAU: Table 5-1Policy Changes: Table 5-3 Historical and Projected U.S. Greenhouse Gas Emissions Baseline, by Sector: 1990-2030 </t>
  </si>
  <si>
    <t>2012 policy baseline scenario</t>
  </si>
  <si>
    <t>1. GHG Emissions Baseline: Total Net Emissions (averaged high and low sequestrations)</t>
  </si>
  <si>
    <t>*Added Agriculture, Forestry and Land Use + averaged high and low sequestration</t>
  </si>
  <si>
    <t>2. With measures scenario required by the United Nations Framework Convention on Climate Change National Communications reporting guidelines</t>
  </si>
  <si>
    <t>Livestock, crop production, burning of agriculture residues</t>
  </si>
  <si>
    <t>Tg CO2e</t>
  </si>
  <si>
    <t>3. Including actions that have been implemented by American Recovery and Reinvestment Act of 2009</t>
  </si>
  <si>
    <t>Land Use, Land-Use Change, and Forestry</t>
  </si>
  <si>
    <t>Emissions from land-use activities (liming and urea)</t>
  </si>
  <si>
    <t>Poor Quality (#3)</t>
  </si>
  <si>
    <t>Xu, Q., et al. (2013). Scenario-Based Analysis on the Structural Change of Land Uses in China. Advances in Meteorology: http://dx.doi.org/10.1155/2013/919013</t>
  </si>
  <si>
    <t>http://dx.doi.org/10.1155/2013/919013</t>
  </si>
  <si>
    <t>Figure 6: CO2 emissions under three scenarios during 1990-2095</t>
  </si>
  <si>
    <t>N/A (synonymous with)</t>
  </si>
  <si>
    <t>1. BAU: designed according to the economic development process and the structural characteristics in China combining the factors with the most possible changes such as population, factor endowments, and technological advances.</t>
  </si>
  <si>
    <t>Land Use Land Change</t>
  </si>
  <si>
    <t>Carbon emissions from land use change calculated as the difference in carbon stock between periods. The land allocated to crops, pasture, forests, commercial biomass, and unmanaged land changes over time in response to changing demands, income, agricultural technologies, and prices of agricultural products. Each regional land-use category is assigned a carbon density for soils and above ground plant material.</t>
  </si>
  <si>
    <t>*Estimates based on Figure 6 line graph
*Units in MTC, but seem quite high when converted to GTCO2</t>
  </si>
  <si>
    <t>2. Rapid economic growth scenario</t>
  </si>
  <si>
    <t>3. Coordinated environmental sustainability scenario (leading to a decrease of cultivated areas)</t>
  </si>
  <si>
    <t>II - Summary: Total estimated predictions per country
III - Database: Primary entry spreadsheet
IV - Database_2: Primary entry spreadsheet for specific columns
V - Database_Clean: Final estimates pasted "as values"
VI - Excluded Articles: A list of articles that did not fit the criteria
VII - XIIV - Calculations for estimates per country and study</t>
  </si>
  <si>
    <t>Sum as % of Gap</t>
  </si>
  <si>
    <t>Boucher, D. and Ferretti-Gallon, K. (2014). Database on Land Use Mitigation Potential, Version 1.0, http://www.ucsusa.org/halfwaythere, [date accessed\.</t>
  </si>
  <si>
    <t xml:space="preserve">The Database of Land Use Mitigation Potential is a compilation of a growing number of publicly available reports and studies on potential mitigation in the global land sector. The database presents an assessment of the potential for emissions reduction in the land sector (in particular, agriculture and forests) in major countries. This initial version includes: Brazil, China, the Democratic Republic of the Congo, the European Union, India, Indonesia, Mexico, and the United States. Individual country analysis includes assessments for the 2020-2030 period, aligning with emerging global emissions reduction timelines. </t>
  </si>
  <si>
    <t>This is a comparison of different baselines projected in each report during2010-2014</t>
  </si>
  <si>
    <t xml:space="preserve">Projected Greenhouse Gas Emissions, U.S. Climate Action Report, 2014.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</si>
</sst>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1"/>
      <name val="Calibri"/>
      <family val="2"/>
      <scheme val="minor"/>
    </font>
    <font>
      <sz val="10"/>
      <name val="Calibri"/>
      <family val="2"/>
    </font>
    <font>
      <sz val="7"/>
      <name val="Calibri"/>
      <family val="2"/>
    </font>
    <font>
      <sz val="12"/>
      <name val="Calibri"/>
      <family val="2"/>
    </font>
    <font>
      <u/>
      <sz val="12"/>
      <name val="Calibri"/>
      <family val="2"/>
    </font>
    <font>
      <b/>
      <sz val="22"/>
      <name val="Calibri"/>
      <family val="2"/>
    </font>
    <font>
      <sz val="22"/>
      <name val="Calibri"/>
      <family val="2"/>
    </font>
    <font>
      <sz val="11"/>
      <color theme="1"/>
      <name val="Calibri"/>
      <family val="2"/>
      <scheme val="minor"/>
    </font>
    <font>
      <u/>
      <sz val="11"/>
      <color theme="10"/>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sz val="10"/>
      <color theme="1"/>
      <name val="Calibri"/>
      <family val="2"/>
      <scheme val="minor"/>
    </font>
    <font>
      <sz val="11"/>
      <color rgb="FF000000"/>
      <name val="Arial"/>
      <family val="2"/>
    </font>
    <font>
      <b/>
      <u/>
      <sz val="11"/>
      <color theme="1"/>
      <name val="Calibri"/>
      <family val="2"/>
      <scheme val="minor"/>
    </font>
    <font>
      <b/>
      <sz val="16"/>
      <name val="Calibri"/>
      <family val="2"/>
      <scheme val="minor"/>
    </font>
    <font>
      <sz val="16"/>
      <name val="Calibri"/>
      <family val="2"/>
      <scheme val="minor"/>
    </font>
    <font>
      <b/>
      <sz val="9"/>
      <color indexed="81"/>
      <name val="Tahoma"/>
      <family val="2"/>
    </font>
    <font>
      <sz val="9"/>
      <color indexed="81"/>
      <name val="Tahoma"/>
      <family val="2"/>
    </font>
  </fonts>
  <fills count="19">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8"/>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8" tint="0.79998168889431442"/>
        <bgColor indexed="64"/>
      </patternFill>
    </fill>
  </fills>
  <borders count="14">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316">
    <xf numFmtId="0" fontId="0" fillId="0" borderId="0" xfId="0"/>
    <xf numFmtId="0" fontId="0" fillId="0" borderId="0" xfId="0" applyFill="1" applyBorder="1" applyAlignment="1">
      <alignment horizontal="left" vertical="top"/>
    </xf>
    <xf numFmtId="0" fontId="0" fillId="0" borderId="0" xfId="0" applyAlignment="1"/>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0" fillId="3" borderId="0" xfId="0" applyFill="1" applyBorder="1" applyAlignment="1">
      <alignment horizontal="left" vertical="top" wrapText="1"/>
    </xf>
    <xf numFmtId="0" fontId="0" fillId="9" borderId="0" xfId="0" applyFill="1" applyBorder="1" applyAlignment="1">
      <alignment horizontal="left" vertical="top"/>
    </xf>
    <xf numFmtId="0" fontId="0" fillId="9"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2" fillId="9" borderId="0" xfId="0" applyFont="1" applyFill="1" applyBorder="1" applyAlignment="1">
      <alignment horizontal="left" vertical="top"/>
    </xf>
    <xf numFmtId="0" fontId="8" fillId="9" borderId="3" xfId="0" applyFont="1" applyFill="1" applyBorder="1" applyAlignment="1">
      <alignment horizontal="left" vertical="top" wrapText="1"/>
    </xf>
    <xf numFmtId="0" fontId="2" fillId="9" borderId="1" xfId="0" applyFont="1" applyFill="1" applyBorder="1" applyAlignment="1">
      <alignment horizontal="left" vertical="top"/>
    </xf>
    <xf numFmtId="0" fontId="2" fillId="9" borderId="2" xfId="0" applyFont="1" applyFill="1" applyBorder="1" applyAlignment="1">
      <alignment horizontal="left" vertical="top"/>
    </xf>
    <xf numFmtId="0" fontId="2" fillId="9" borderId="0" xfId="0" applyFont="1" applyFill="1" applyBorder="1" applyAlignment="1">
      <alignment horizontal="left" vertical="top" wrapText="1"/>
    </xf>
    <xf numFmtId="0" fontId="0" fillId="9" borderId="0" xfId="0" applyFill="1" applyBorder="1" applyAlignment="1">
      <alignment horizontal="left" vertical="top" wrapText="1"/>
    </xf>
    <xf numFmtId="0" fontId="3" fillId="9" borderId="3" xfId="0" applyFont="1" applyFill="1" applyBorder="1" applyAlignment="1">
      <alignment horizontal="left" vertical="top" wrapText="1"/>
    </xf>
    <xf numFmtId="0" fontId="0" fillId="9" borderId="2" xfId="0" applyFill="1" applyBorder="1" applyAlignment="1">
      <alignment horizontal="left" vertical="top"/>
    </xf>
    <xf numFmtId="0" fontId="0" fillId="0" borderId="0" xfId="0" applyFont="1" applyFill="1" applyBorder="1" applyAlignment="1">
      <alignment horizontal="left" vertical="top"/>
    </xf>
    <xf numFmtId="0" fontId="9" fillId="5" borderId="0" xfId="0" applyFont="1" applyFill="1" applyAlignment="1">
      <alignment vertical="top"/>
    </xf>
    <xf numFmtId="0" fontId="9" fillId="5" borderId="0" xfId="0" applyFont="1" applyFill="1" applyAlignment="1">
      <alignment vertical="top" wrapText="1"/>
    </xf>
    <xf numFmtId="0" fontId="9" fillId="7" borderId="0" xfId="0" applyFont="1" applyFill="1" applyAlignment="1">
      <alignment vertical="top"/>
    </xf>
    <xf numFmtId="0" fontId="9" fillId="7" borderId="0" xfId="0" applyFont="1" applyFill="1" applyAlignment="1">
      <alignment vertical="top" wrapText="1"/>
    </xf>
    <xf numFmtId="0" fontId="9" fillId="0" borderId="0" xfId="0" applyFont="1" applyAlignment="1"/>
    <xf numFmtId="0" fontId="9" fillId="0" borderId="0" xfId="0" applyFont="1" applyFill="1" applyAlignment="1"/>
    <xf numFmtId="0" fontId="9" fillId="12" borderId="0" xfId="0" applyFont="1" applyFill="1" applyAlignment="1"/>
    <xf numFmtId="0" fontId="9" fillId="5" borderId="0" xfId="0" applyFont="1" applyFill="1" applyAlignment="1"/>
    <xf numFmtId="0" fontId="10" fillId="5" borderId="0" xfId="0" applyFont="1" applyFill="1" applyAlignment="1"/>
    <xf numFmtId="0" fontId="4" fillId="3" borderId="0"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0" xfId="0" applyFont="1" applyFill="1" applyBorder="1" applyAlignment="1">
      <alignment horizontal="left" vertical="top"/>
    </xf>
    <xf numFmtId="0" fontId="4" fillId="8" borderId="0" xfId="0" applyFont="1" applyFill="1" applyBorder="1" applyAlignment="1">
      <alignment horizontal="left" vertical="top"/>
    </xf>
    <xf numFmtId="0" fontId="4" fillId="6" borderId="0" xfId="0" applyFont="1" applyFill="1" applyBorder="1" applyAlignment="1">
      <alignment horizontal="left" vertical="top"/>
    </xf>
    <xf numFmtId="0" fontId="4" fillId="6" borderId="4" xfId="0" applyFont="1" applyFill="1" applyBorder="1" applyAlignment="1">
      <alignment horizontal="left" vertical="top"/>
    </xf>
    <xf numFmtId="0" fontId="4" fillId="5" borderId="0" xfId="0" applyFont="1" applyFill="1" applyBorder="1" applyAlignment="1">
      <alignment horizontal="left" vertical="top" wrapText="1"/>
    </xf>
    <xf numFmtId="0" fontId="4" fillId="10" borderId="0" xfId="0" applyFont="1" applyFill="1" applyBorder="1" applyAlignment="1">
      <alignment horizontal="left" vertical="top" wrapText="1"/>
    </xf>
    <xf numFmtId="0" fontId="4" fillId="10" borderId="0" xfId="0" applyFont="1" applyFill="1" applyBorder="1" applyAlignment="1">
      <alignment horizontal="left" vertical="top"/>
    </xf>
    <xf numFmtId="0" fontId="5" fillId="10" borderId="0" xfId="0" applyFont="1" applyFill="1" applyBorder="1" applyAlignment="1">
      <alignment horizontal="left" vertical="top"/>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5"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6"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0" xfId="0" applyFont="1" applyFill="1" applyBorder="1" applyAlignment="1">
      <alignment horizontal="left" vertical="top"/>
    </xf>
    <xf numFmtId="0" fontId="7" fillId="8" borderId="0" xfId="0" applyFont="1" applyFill="1" applyBorder="1" applyAlignment="1">
      <alignment horizontal="left" vertical="top"/>
    </xf>
    <xf numFmtId="0" fontId="6" fillId="9" borderId="0" xfId="0" applyFont="1" applyFill="1" applyBorder="1" applyAlignment="1">
      <alignment horizontal="left" vertical="top"/>
    </xf>
    <xf numFmtId="0" fontId="6" fillId="5" borderId="0" xfId="0" applyFont="1" applyFill="1" applyBorder="1" applyAlignment="1">
      <alignment horizontal="left" vertical="top"/>
    </xf>
    <xf numFmtId="0" fontId="6" fillId="3" borderId="1" xfId="0" applyFont="1" applyFill="1" applyBorder="1" applyAlignment="1">
      <alignment horizontal="left" vertical="top"/>
    </xf>
    <xf numFmtId="0" fontId="6" fillId="5" borderId="2" xfId="0" applyFont="1" applyFill="1" applyBorder="1" applyAlignment="1">
      <alignment horizontal="left" vertical="top"/>
    </xf>
    <xf numFmtId="0" fontId="6" fillId="3" borderId="0" xfId="0" applyFont="1" applyFill="1" applyBorder="1" applyAlignment="1">
      <alignment horizontal="left" vertical="top" wrapText="1"/>
    </xf>
    <xf numFmtId="0" fontId="11" fillId="5" borderId="0" xfId="0" applyFont="1" applyFill="1" applyAlignment="1"/>
    <xf numFmtId="0" fontId="11" fillId="5" borderId="0" xfId="0" applyFont="1" applyFill="1" applyAlignment="1">
      <alignment vertical="top"/>
    </xf>
    <xf numFmtId="0" fontId="11" fillId="5" borderId="0" xfId="0" applyFont="1" applyFill="1" applyAlignment="1">
      <alignment vertical="top"/>
    </xf>
    <xf numFmtId="0" fontId="13" fillId="5" borderId="0" xfId="0" applyFont="1" applyFill="1" applyAlignment="1"/>
    <xf numFmtId="0" fontId="14" fillId="5" borderId="0" xfId="0" applyFont="1" applyFill="1" applyAlignment="1"/>
    <xf numFmtId="0" fontId="7" fillId="3" borderId="3" xfId="0" applyFont="1" applyFill="1" applyBorder="1" applyAlignment="1">
      <alignment horizontal="left" vertical="top" wrapText="1"/>
    </xf>
    <xf numFmtId="0" fontId="7" fillId="3" borderId="6" xfId="0" applyFont="1" applyFill="1" applyBorder="1" applyAlignment="1">
      <alignment horizontal="right" vertical="top"/>
    </xf>
    <xf numFmtId="0" fontId="7" fillId="3" borderId="9" xfId="0" applyFont="1" applyFill="1" applyBorder="1" applyAlignment="1">
      <alignment horizontal="left" vertical="top" wrapText="1"/>
    </xf>
    <xf numFmtId="0" fontId="6" fillId="3" borderId="6" xfId="0" applyFont="1" applyFill="1" applyBorder="1" applyAlignment="1">
      <alignment horizontal="left" vertical="top"/>
    </xf>
    <xf numFmtId="0" fontId="7" fillId="0" borderId="0" xfId="0" applyFont="1" applyFill="1" applyBorder="1" applyAlignment="1">
      <alignment horizontal="left" vertical="top"/>
    </xf>
    <xf numFmtId="2" fontId="7" fillId="0" borderId="0" xfId="0" applyNumberFormat="1" applyFont="1" applyFill="1" applyBorder="1" applyAlignment="1">
      <alignment horizontal="left" vertical="top"/>
    </xf>
    <xf numFmtId="2" fontId="6" fillId="3" borderId="0" xfId="0" applyNumberFormat="1" applyFont="1" applyFill="1" applyBorder="1" applyAlignment="1">
      <alignment horizontal="left" vertical="top"/>
    </xf>
    <xf numFmtId="2" fontId="6" fillId="3" borderId="6" xfId="0" applyNumberFormat="1" applyFont="1" applyFill="1" applyBorder="1" applyAlignment="1">
      <alignment horizontal="left" vertical="top"/>
    </xf>
    <xf numFmtId="0" fontId="4" fillId="6" borderId="6" xfId="0" applyFont="1" applyFill="1" applyBorder="1" applyAlignment="1">
      <alignment horizontal="left" vertical="top"/>
    </xf>
    <xf numFmtId="0" fontId="6" fillId="5" borderId="3"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3" borderId="3" xfId="0" applyFont="1" applyFill="1" applyBorder="1" applyAlignment="1">
      <alignment horizontal="left" vertical="top" wrapText="1"/>
    </xf>
    <xf numFmtId="0" fontId="7" fillId="11" borderId="5" xfId="0" applyFont="1" applyFill="1" applyBorder="1" applyAlignment="1">
      <alignment horizontal="left" vertical="top" wrapText="1"/>
    </xf>
    <xf numFmtId="0" fontId="7" fillId="11" borderId="9" xfId="0" applyFont="1" applyFill="1" applyBorder="1" applyAlignment="1">
      <alignment horizontal="left" vertical="top" wrapText="1"/>
    </xf>
    <xf numFmtId="0" fontId="7" fillId="11" borderId="3" xfId="0" applyFont="1" applyFill="1" applyBorder="1" applyAlignment="1">
      <alignment horizontal="left" vertical="top" wrapText="1"/>
    </xf>
    <xf numFmtId="0" fontId="4" fillId="13" borderId="0" xfId="0" applyFont="1" applyFill="1" applyBorder="1" applyAlignment="1">
      <alignment horizontal="left" vertical="top"/>
    </xf>
    <xf numFmtId="0" fontId="11" fillId="5" borderId="0" xfId="0" applyFont="1" applyFill="1" applyAlignment="1">
      <alignment vertical="top"/>
    </xf>
    <xf numFmtId="0" fontId="11" fillId="5" borderId="0" xfId="0" applyFont="1" applyFill="1" applyAlignment="1">
      <alignment vertical="top" wrapText="1"/>
    </xf>
    <xf numFmtId="0" fontId="0" fillId="9" borderId="1" xfId="0" applyFill="1" applyBorder="1" applyAlignment="1">
      <alignment horizontal="left" vertical="top"/>
    </xf>
    <xf numFmtId="0" fontId="0" fillId="0" borderId="1" xfId="0" applyFill="1" applyBorder="1" applyAlignment="1">
      <alignment horizontal="left" vertical="top"/>
    </xf>
    <xf numFmtId="0" fontId="0" fillId="0" borderId="0" xfId="0" applyAlignment="1">
      <alignment vertical="top" wrapText="1"/>
    </xf>
    <xf numFmtId="0" fontId="4" fillId="5" borderId="0" xfId="0" applyFont="1" applyFill="1" applyBorder="1" applyAlignment="1">
      <alignment vertical="top" wrapText="1"/>
    </xf>
    <xf numFmtId="0" fontId="0" fillId="4" borderId="0" xfId="0" applyFill="1" applyBorder="1" applyAlignment="1">
      <alignment vertical="top" wrapText="1"/>
    </xf>
    <xf numFmtId="0" fontId="0" fillId="0" borderId="0" xfId="0" applyBorder="1" applyAlignment="1">
      <alignment vertical="top" wrapText="1"/>
    </xf>
    <xf numFmtId="0" fontId="5" fillId="4" borderId="0" xfId="0" applyFont="1" applyFill="1" applyBorder="1" applyAlignment="1">
      <alignment horizontal="left" vertical="top"/>
    </xf>
    <xf numFmtId="0" fontId="0" fillId="14" borderId="3" xfId="0" applyFill="1" applyBorder="1" applyAlignment="1">
      <alignment vertical="top" wrapText="1"/>
    </xf>
    <xf numFmtId="0" fontId="0" fillId="6" borderId="3" xfId="0" applyFill="1" applyBorder="1" applyAlignment="1">
      <alignment vertical="top" wrapText="1"/>
    </xf>
    <xf numFmtId="0" fontId="0" fillId="6" borderId="0" xfId="0" applyFill="1" applyBorder="1" applyAlignment="1">
      <alignment vertical="top" wrapText="1"/>
    </xf>
    <xf numFmtId="0" fontId="0" fillId="6" borderId="2" xfId="0" applyFill="1" applyBorder="1" applyAlignment="1">
      <alignment vertical="top" wrapText="1"/>
    </xf>
    <xf numFmtId="0" fontId="4" fillId="10" borderId="0" xfId="0" applyFont="1" applyFill="1" applyBorder="1" applyAlignment="1">
      <alignment vertical="top" wrapText="1"/>
    </xf>
    <xf numFmtId="0" fontId="4" fillId="4" borderId="0" xfId="0" applyFont="1" applyFill="1" applyBorder="1" applyAlignment="1">
      <alignment vertical="top" wrapText="1"/>
    </xf>
    <xf numFmtId="0" fontId="4" fillId="8" borderId="0" xfId="0" applyFont="1" applyFill="1" applyBorder="1" applyAlignment="1">
      <alignment vertical="top" wrapText="1"/>
    </xf>
    <xf numFmtId="0" fontId="0" fillId="3" borderId="0" xfId="0" applyFill="1" applyAlignment="1">
      <alignment vertical="top" wrapText="1"/>
    </xf>
    <xf numFmtId="0" fontId="4" fillId="3" borderId="1" xfId="0" applyFont="1" applyFill="1" applyBorder="1" applyAlignment="1">
      <alignment vertical="top" wrapText="1"/>
    </xf>
    <xf numFmtId="0" fontId="4" fillId="4" borderId="1" xfId="0" applyFont="1" applyFill="1" applyBorder="1" applyAlignment="1">
      <alignment vertical="top" wrapText="1"/>
    </xf>
    <xf numFmtId="0" fontId="5" fillId="4" borderId="1" xfId="0" applyFont="1" applyFill="1" applyBorder="1" applyAlignment="1">
      <alignment horizontal="left" vertical="top"/>
    </xf>
    <xf numFmtId="0" fontId="4" fillId="8" borderId="0" xfId="0" applyFont="1" applyFill="1" applyAlignment="1">
      <alignment vertical="top" wrapText="1"/>
    </xf>
    <xf numFmtId="0" fontId="4" fillId="10" borderId="2" xfId="0" applyFont="1" applyFill="1" applyBorder="1" applyAlignment="1">
      <alignment vertical="top" wrapText="1"/>
    </xf>
    <xf numFmtId="0" fontId="5" fillId="10" borderId="2" xfId="0" applyFont="1" applyFill="1" applyBorder="1" applyAlignment="1">
      <alignment horizontal="left" vertical="top"/>
    </xf>
    <xf numFmtId="0" fontId="4" fillId="13" borderId="0" xfId="0" applyFont="1" applyFill="1" applyBorder="1" applyAlignment="1">
      <alignment vertical="top" wrapText="1"/>
    </xf>
    <xf numFmtId="0" fontId="4" fillId="13" borderId="2" xfId="0" applyFont="1" applyFill="1" applyBorder="1" applyAlignment="1">
      <alignment vertical="top" wrapText="1"/>
    </xf>
    <xf numFmtId="0" fontId="0" fillId="8" borderId="0" xfId="0" applyFill="1" applyAlignment="1">
      <alignment vertical="top" wrapText="1"/>
    </xf>
    <xf numFmtId="0" fontId="0" fillId="14" borderId="0" xfId="0" applyFill="1" applyAlignment="1">
      <alignment vertical="top" wrapText="1"/>
    </xf>
    <xf numFmtId="0" fontId="0" fillId="6" borderId="0" xfId="0" applyFill="1" applyAlignment="1">
      <alignment vertical="top"/>
    </xf>
    <xf numFmtId="0" fontId="0" fillId="6" borderId="0" xfId="0" applyFill="1" applyAlignment="1">
      <alignment vertical="top" wrapText="1"/>
    </xf>
    <xf numFmtId="0" fontId="0" fillId="6" borderId="0" xfId="0" applyFill="1" applyBorder="1" applyAlignment="1">
      <alignment vertical="top"/>
    </xf>
    <xf numFmtId="0" fontId="0" fillId="11" borderId="0" xfId="0" applyFont="1" applyFill="1" applyBorder="1" applyAlignment="1">
      <alignment vertical="top" wrapText="1"/>
    </xf>
    <xf numFmtId="0" fontId="4" fillId="8" borderId="1" xfId="0" applyFont="1" applyFill="1" applyBorder="1" applyAlignment="1">
      <alignment vertical="top" wrapText="1"/>
    </xf>
    <xf numFmtId="0" fontId="17" fillId="0" borderId="0" xfId="0" applyFont="1" applyBorder="1" applyAlignment="1">
      <alignment vertical="top" wrapText="1"/>
    </xf>
    <xf numFmtId="0" fontId="0" fillId="0" borderId="0" xfId="0" applyFill="1" applyBorder="1" applyAlignment="1">
      <alignment vertical="top" wrapText="1"/>
    </xf>
    <xf numFmtId="0" fontId="0" fillId="3" borderId="0" xfId="0" applyFill="1" applyBorder="1" applyAlignment="1">
      <alignment vertical="top" wrapText="1"/>
    </xf>
    <xf numFmtId="0" fontId="0" fillId="0" borderId="3" xfId="0" applyFill="1" applyBorder="1" applyAlignment="1">
      <alignment vertical="top" wrapText="1"/>
    </xf>
    <xf numFmtId="0" fontId="0" fillId="3" borderId="3" xfId="0" applyFill="1" applyBorder="1" applyAlignment="1">
      <alignment vertical="top" wrapText="1"/>
    </xf>
    <xf numFmtId="0" fontId="0" fillId="0" borderId="2" xfId="0" applyBorder="1" applyAlignment="1">
      <alignment vertical="top" wrapText="1"/>
    </xf>
    <xf numFmtId="0" fontId="0" fillId="0" borderId="0" xfId="0" applyFont="1" applyBorder="1" applyAlignment="1">
      <alignment vertical="top" wrapText="1"/>
    </xf>
    <xf numFmtId="0" fontId="17" fillId="3" borderId="0" xfId="0" applyFont="1" applyFill="1" applyBorder="1" applyAlignment="1">
      <alignment vertical="top" wrapText="1"/>
    </xf>
    <xf numFmtId="0" fontId="2" fillId="0"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Fill="1" applyBorder="1" applyAlignment="1">
      <alignment horizontal="left" vertical="top" wrapText="1"/>
    </xf>
    <xf numFmtId="0" fontId="0" fillId="0" borderId="4" xfId="0" applyFill="1" applyBorder="1" applyAlignment="1">
      <alignment horizontal="left" vertical="top"/>
    </xf>
    <xf numFmtId="0" fontId="0" fillId="0" borderId="6" xfId="0" applyFill="1" applyBorder="1" applyAlignment="1">
      <alignment horizontal="left" vertical="top"/>
    </xf>
    <xf numFmtId="0" fontId="7"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0" fontId="0" fillId="0" borderId="2" xfId="0" applyFill="1" applyBorder="1" applyAlignment="1">
      <alignment horizontal="left" vertical="top"/>
    </xf>
    <xf numFmtId="0" fontId="2" fillId="0" borderId="0" xfId="0" applyFont="1" applyFill="1" applyBorder="1" applyAlignment="1">
      <alignment horizontal="left" vertical="top" wrapText="1"/>
    </xf>
    <xf numFmtId="0" fontId="17" fillId="6" borderId="0" xfId="0" applyFont="1" applyFill="1" applyBorder="1" applyAlignment="1">
      <alignment vertical="top" wrapText="1"/>
    </xf>
    <xf numFmtId="0" fontId="0" fillId="6" borderId="0" xfId="0" applyFont="1" applyFill="1" applyBorder="1" applyAlignment="1">
      <alignment vertical="top" wrapText="1"/>
    </xf>
    <xf numFmtId="0" fontId="18" fillId="6" borderId="0" xfId="0" applyFont="1" applyFill="1" applyBorder="1" applyAlignment="1">
      <alignment vertical="top"/>
    </xf>
    <xf numFmtId="0" fontId="0" fillId="6" borderId="0" xfId="0" applyFont="1" applyFill="1" applyBorder="1" applyAlignment="1">
      <alignment vertical="top"/>
    </xf>
    <xf numFmtId="0" fontId="16" fillId="6" borderId="0" xfId="2" applyFill="1" applyBorder="1" applyAlignment="1">
      <alignment vertical="top" wrapText="1"/>
    </xf>
    <xf numFmtId="0" fontId="0" fillId="6" borderId="2" xfId="0" applyFill="1" applyBorder="1" applyAlignment="1">
      <alignment vertical="top"/>
    </xf>
    <xf numFmtId="0" fontId="0" fillId="6" borderId="3" xfId="0" applyFill="1" applyBorder="1" applyAlignment="1">
      <alignment vertical="top"/>
    </xf>
    <xf numFmtId="0" fontId="16" fillId="6" borderId="0" xfId="2" applyFill="1" applyAlignment="1">
      <alignment vertical="top" wrapText="1"/>
    </xf>
    <xf numFmtId="0" fontId="0" fillId="6" borderId="0" xfId="0" applyFont="1" applyFill="1" applyAlignment="1">
      <alignment vertical="top" wrapText="1"/>
    </xf>
    <xf numFmtId="0" fontId="17" fillId="6" borderId="0" xfId="0" applyFont="1" applyFill="1" applyAlignment="1">
      <alignment vertical="top" wrapText="1"/>
    </xf>
    <xf numFmtId="0" fontId="17" fillId="6" borderId="2" xfId="0" applyFont="1" applyFill="1" applyBorder="1" applyAlignment="1">
      <alignment vertical="top" wrapText="1"/>
    </xf>
    <xf numFmtId="0" fontId="17" fillId="11" borderId="0" xfId="0" applyFont="1" applyFill="1" applyBorder="1" applyAlignment="1">
      <alignment vertical="top" wrapText="1"/>
    </xf>
    <xf numFmtId="0" fontId="0" fillId="11" borderId="0" xfId="0" applyFill="1" applyBorder="1" applyAlignment="1">
      <alignment vertical="top" wrapText="1"/>
    </xf>
    <xf numFmtId="0" fontId="0" fillId="11" borderId="0" xfId="0" applyFill="1" applyBorder="1" applyAlignment="1">
      <alignment vertical="top"/>
    </xf>
    <xf numFmtId="0" fontId="0" fillId="11" borderId="0" xfId="0" applyFont="1" applyFill="1" applyBorder="1" applyAlignment="1">
      <alignment vertical="top"/>
    </xf>
    <xf numFmtId="0" fontId="16" fillId="11" borderId="0" xfId="2" applyFill="1" applyBorder="1" applyAlignment="1">
      <alignment vertical="top" wrapText="1"/>
    </xf>
    <xf numFmtId="0" fontId="0" fillId="14" borderId="0" xfId="0" applyFill="1" applyBorder="1" applyAlignment="1">
      <alignment vertical="top" wrapText="1"/>
    </xf>
    <xf numFmtId="0" fontId="17" fillId="14" borderId="0" xfId="0" applyFont="1" applyFill="1" applyBorder="1" applyAlignment="1">
      <alignment vertical="top" wrapText="1"/>
    </xf>
    <xf numFmtId="0" fontId="0" fillId="3" borderId="0" xfId="0" applyFill="1"/>
    <xf numFmtId="0" fontId="19" fillId="3" borderId="0" xfId="0" applyFont="1" applyFill="1" applyAlignment="1"/>
    <xf numFmtId="0" fontId="0" fillId="14" borderId="0" xfId="0" applyFill="1"/>
    <xf numFmtId="0" fontId="0" fillId="15" borderId="0" xfId="0" applyFill="1"/>
    <xf numFmtId="0" fontId="0" fillId="3" borderId="0" xfId="0" applyFill="1" applyAlignment="1">
      <alignment horizontal="left" vertical="top" wrapText="1"/>
    </xf>
    <xf numFmtId="0" fontId="0" fillId="14" borderId="0" xfId="0" applyFill="1" applyAlignment="1">
      <alignment horizontal="left" vertical="top" wrapText="1"/>
    </xf>
    <xf numFmtId="0" fontId="0" fillId="16" borderId="0" xfId="0" applyFill="1" applyAlignment="1">
      <alignment horizontal="left" vertical="top" wrapText="1"/>
    </xf>
    <xf numFmtId="0" fontId="0" fillId="16" borderId="0" xfId="0" applyFill="1"/>
    <xf numFmtId="0" fontId="0" fillId="10" borderId="0" xfId="0" applyFill="1" applyAlignment="1">
      <alignment vertical="top" wrapText="1"/>
    </xf>
    <xf numFmtId="0" fontId="17" fillId="10" borderId="0" xfId="0" applyFont="1" applyFill="1" applyBorder="1" applyAlignment="1">
      <alignment vertical="top" wrapText="1"/>
    </xf>
    <xf numFmtId="0" fontId="0" fillId="10" borderId="0" xfId="0" applyFill="1" applyBorder="1" applyAlignment="1">
      <alignment vertical="top" wrapText="1"/>
    </xf>
    <xf numFmtId="0" fontId="0" fillId="10" borderId="0" xfId="0" applyFont="1" applyFill="1" applyBorder="1" applyAlignment="1">
      <alignment vertical="top" wrapText="1"/>
    </xf>
    <xf numFmtId="0" fontId="0" fillId="10" borderId="0" xfId="0" applyFill="1" applyBorder="1" applyAlignment="1">
      <alignment vertical="top"/>
    </xf>
    <xf numFmtId="0" fontId="0" fillId="10" borderId="2" xfId="0" applyFill="1" applyBorder="1" applyAlignment="1">
      <alignment vertical="top" wrapText="1"/>
    </xf>
    <xf numFmtId="0" fontId="0" fillId="10" borderId="3" xfId="0" applyFill="1" applyBorder="1" applyAlignment="1">
      <alignment vertical="top" wrapText="1"/>
    </xf>
    <xf numFmtId="0" fontId="0" fillId="4" borderId="0" xfId="0" applyFill="1" applyAlignment="1">
      <alignment vertical="top" wrapText="1"/>
    </xf>
    <xf numFmtId="0" fontId="17" fillId="4" borderId="0" xfId="0" applyFont="1" applyFill="1" applyBorder="1" applyAlignment="1">
      <alignment vertical="top" wrapText="1"/>
    </xf>
    <xf numFmtId="0" fontId="0" fillId="4" borderId="3" xfId="0" applyFill="1" applyBorder="1" applyAlignment="1">
      <alignment vertical="top" wrapText="1"/>
    </xf>
    <xf numFmtId="0" fontId="0" fillId="16" borderId="0" xfId="0" applyFill="1" applyAlignment="1">
      <alignment vertical="top" wrapText="1"/>
    </xf>
    <xf numFmtId="0" fontId="17" fillId="16" borderId="0" xfId="0" applyFont="1" applyFill="1" applyBorder="1" applyAlignment="1">
      <alignment vertical="top" wrapText="1"/>
    </xf>
    <xf numFmtId="0" fontId="0" fillId="16" borderId="0" xfId="0" applyFill="1" applyBorder="1" applyAlignment="1">
      <alignment vertical="top" wrapText="1"/>
    </xf>
    <xf numFmtId="0" fontId="0" fillId="16" borderId="0" xfId="0" applyFont="1" applyFill="1" applyBorder="1" applyAlignment="1">
      <alignment vertical="top" wrapText="1"/>
    </xf>
    <xf numFmtId="0" fontId="0" fillId="16" borderId="0" xfId="0" applyFill="1" applyBorder="1" applyAlignment="1">
      <alignment vertical="top"/>
    </xf>
    <xf numFmtId="0" fontId="0" fillId="16" borderId="2" xfId="0" applyFill="1" applyBorder="1" applyAlignment="1">
      <alignment vertical="top" wrapText="1"/>
    </xf>
    <xf numFmtId="0" fontId="0" fillId="16" borderId="3" xfId="0" applyFill="1" applyBorder="1" applyAlignment="1">
      <alignment vertical="top" wrapText="1"/>
    </xf>
    <xf numFmtId="0" fontId="0" fillId="5" borderId="0" xfId="0" applyFill="1" applyAlignment="1">
      <alignment vertical="top" wrapText="1"/>
    </xf>
    <xf numFmtId="0" fontId="17" fillId="5" borderId="0" xfId="0" applyFont="1" applyFill="1" applyBorder="1" applyAlignment="1">
      <alignment vertical="top" wrapText="1"/>
    </xf>
    <xf numFmtId="0" fontId="0" fillId="5" borderId="0" xfId="0" applyFill="1" applyBorder="1" applyAlignment="1">
      <alignment vertical="top" wrapText="1"/>
    </xf>
    <xf numFmtId="0" fontId="0" fillId="5" borderId="0" xfId="0" applyFont="1" applyFill="1" applyBorder="1" applyAlignment="1">
      <alignment vertical="top" wrapText="1"/>
    </xf>
    <xf numFmtId="0" fontId="0" fillId="5" borderId="0" xfId="0" applyFill="1" applyBorder="1" applyAlignment="1">
      <alignment vertical="top"/>
    </xf>
    <xf numFmtId="0" fontId="0" fillId="5" borderId="2" xfId="0" applyFill="1" applyBorder="1" applyAlignment="1">
      <alignment vertical="top" wrapText="1"/>
    </xf>
    <xf numFmtId="0" fontId="0" fillId="5" borderId="3" xfId="0" applyFill="1" applyBorder="1" applyAlignment="1">
      <alignment vertical="top" wrapText="1"/>
    </xf>
    <xf numFmtId="0" fontId="1" fillId="3" borderId="0" xfId="0" applyFont="1" applyFill="1" applyAlignment="1">
      <alignment vertical="top" wrapText="1"/>
    </xf>
    <xf numFmtId="0" fontId="1" fillId="5" borderId="0" xfId="0" applyFont="1" applyFill="1" applyAlignment="1">
      <alignment vertical="top" wrapText="1"/>
    </xf>
    <xf numFmtId="0" fontId="1" fillId="14" borderId="0" xfId="0" applyFont="1" applyFill="1" applyAlignment="1">
      <alignment vertical="top" wrapText="1"/>
    </xf>
    <xf numFmtId="0" fontId="1" fillId="16" borderId="0" xfId="0" applyFont="1" applyFill="1" applyAlignment="1">
      <alignment vertical="top" wrapText="1"/>
    </xf>
    <xf numFmtId="0" fontId="1" fillId="4" borderId="0" xfId="0" applyFont="1" applyFill="1" applyAlignment="1">
      <alignment vertical="top" wrapText="1"/>
    </xf>
    <xf numFmtId="0" fontId="1" fillId="10" borderId="0" xfId="0" applyFont="1" applyFill="1" applyAlignment="1">
      <alignment vertical="top" wrapText="1"/>
    </xf>
    <xf numFmtId="0" fontId="1" fillId="3" borderId="0" xfId="0" applyFont="1" applyFill="1" applyBorder="1" applyAlignment="1">
      <alignment vertical="top"/>
    </xf>
    <xf numFmtId="0" fontId="0" fillId="15" borderId="0" xfId="0" applyFill="1" applyAlignment="1">
      <alignment vertical="top" wrapText="1"/>
    </xf>
    <xf numFmtId="0" fontId="20" fillId="3" borderId="0" xfId="0" applyFont="1" applyFill="1" applyAlignment="1">
      <alignment vertical="top" wrapText="1"/>
    </xf>
    <xf numFmtId="0" fontId="2" fillId="15" borderId="0" xfId="0" applyFont="1" applyFill="1" applyAlignment="1">
      <alignment vertical="top" wrapText="1"/>
    </xf>
    <xf numFmtId="0" fontId="0" fillId="0" borderId="0" xfId="0" applyFill="1" applyAlignment="1">
      <alignment vertical="top" wrapText="1"/>
    </xf>
    <xf numFmtId="0" fontId="0" fillId="0" borderId="0" xfId="0" applyAlignment="1">
      <alignment horizontal="left" vertical="top"/>
    </xf>
    <xf numFmtId="0" fontId="0" fillId="2" borderId="0" xfId="0" applyFill="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xf>
    <xf numFmtId="0" fontId="0" fillId="0" borderId="0" xfId="0" applyBorder="1" applyAlignment="1">
      <alignment horizontal="left" vertical="top"/>
    </xf>
    <xf numFmtId="0" fontId="0" fillId="2" borderId="0" xfId="0" applyFill="1" applyBorder="1" applyAlignment="1">
      <alignment horizontal="left" vertical="top"/>
    </xf>
    <xf numFmtId="0" fontId="0" fillId="0" borderId="2" xfId="0" applyBorder="1" applyAlignment="1">
      <alignment horizontal="left" vertical="top"/>
    </xf>
    <xf numFmtId="0" fontId="0" fillId="2" borderId="2" xfId="0" applyFill="1" applyBorder="1" applyAlignment="1">
      <alignment horizontal="left" vertical="top"/>
    </xf>
    <xf numFmtId="0" fontId="0" fillId="0" borderId="0" xfId="0" applyFill="1" applyAlignment="1">
      <alignment horizontal="left" vertical="top"/>
    </xf>
    <xf numFmtId="3" fontId="21" fillId="0" borderId="0" xfId="0" applyNumberFormat="1" applyFont="1" applyBorder="1"/>
    <xf numFmtId="3" fontId="0" fillId="0" borderId="0" xfId="0" applyNumberFormat="1" applyBorder="1" applyAlignment="1">
      <alignment horizontal="left" vertical="top"/>
    </xf>
    <xf numFmtId="0" fontId="0" fillId="2" borderId="1" xfId="0" applyFill="1" applyBorder="1" applyAlignment="1">
      <alignment horizontal="left" vertical="top"/>
    </xf>
    <xf numFmtId="3" fontId="0" fillId="2" borderId="0" xfId="0" applyNumberFormat="1" applyFill="1" applyBorder="1" applyAlignment="1">
      <alignment horizontal="left" vertical="top"/>
    </xf>
    <xf numFmtId="3" fontId="0" fillId="0" borderId="0" xfId="0" applyNumberFormat="1" applyBorder="1"/>
    <xf numFmtId="0" fontId="0" fillId="0" borderId="0" xfId="0" applyBorder="1"/>
    <xf numFmtId="0" fontId="0" fillId="17" borderId="0" xfId="0" applyFill="1" applyBorder="1" applyAlignment="1">
      <alignment horizontal="left" vertical="top"/>
    </xf>
    <xf numFmtId="0" fontId="16" fillId="0" borderId="1" xfId="2" applyBorder="1" applyAlignment="1">
      <alignment horizontal="left" vertical="top"/>
    </xf>
    <xf numFmtId="3" fontId="0" fillId="0" borderId="0" xfId="0" applyNumberFormat="1" applyAlignment="1">
      <alignment horizontal="left" vertical="top"/>
    </xf>
    <xf numFmtId="0" fontId="0" fillId="2" borderId="0" xfId="0" applyFill="1" applyAlignment="1">
      <alignment horizontal="left" vertical="top"/>
    </xf>
    <xf numFmtId="0" fontId="22" fillId="0" borderId="0" xfId="0" applyFont="1" applyAlignment="1">
      <alignment horizontal="left" vertical="top"/>
    </xf>
    <xf numFmtId="0" fontId="0" fillId="2" borderId="0" xfId="0" applyFill="1"/>
    <xf numFmtId="0" fontId="0" fillId="0" borderId="0" xfId="0" applyFill="1"/>
    <xf numFmtId="0" fontId="0" fillId="6" borderId="0" xfId="0" applyFill="1" applyAlignment="1">
      <alignment horizontal="left" vertical="top"/>
    </xf>
    <xf numFmtId="0" fontId="0" fillId="6" borderId="0" xfId="0" applyFill="1"/>
    <xf numFmtId="0" fontId="0" fillId="14" borderId="0" xfId="0" applyFill="1" applyAlignment="1">
      <alignment horizontal="left" vertical="top"/>
    </xf>
    <xf numFmtId="0" fontId="0" fillId="8" borderId="0" xfId="0" applyFill="1"/>
    <xf numFmtId="0" fontId="0" fillId="3" borderId="0" xfId="0" applyFill="1" applyAlignment="1">
      <alignment horizontal="left" vertical="top"/>
    </xf>
    <xf numFmtId="0" fontId="0" fillId="4" borderId="0" xfId="0" applyFill="1" applyAlignment="1">
      <alignment horizontal="left" vertical="top"/>
    </xf>
    <xf numFmtId="0" fontId="0" fillId="4" borderId="0" xfId="0" applyFill="1" applyAlignment="1">
      <alignment horizontal="left" vertical="top" wrapText="1"/>
    </xf>
    <xf numFmtId="0" fontId="0" fillId="4" borderId="0" xfId="0" applyFill="1" applyAlignment="1">
      <alignment wrapText="1"/>
    </xf>
    <xf numFmtId="0" fontId="0" fillId="4" borderId="0" xfId="0" applyFill="1" applyAlignment="1"/>
    <xf numFmtId="0" fontId="0" fillId="4" borderId="0" xfId="0" applyFill="1"/>
    <xf numFmtId="0" fontId="6" fillId="6" borderId="4" xfId="0" applyFont="1" applyFill="1" applyBorder="1" applyAlignment="1">
      <alignment vertical="top"/>
    </xf>
    <xf numFmtId="0" fontId="6" fillId="6" borderId="6" xfId="0" applyFont="1" applyFill="1" applyBorder="1" applyAlignment="1">
      <alignment vertical="top"/>
    </xf>
    <xf numFmtId="0" fontId="6" fillId="6" borderId="0" xfId="0" applyFont="1" applyFill="1" applyBorder="1" applyAlignment="1">
      <alignment vertical="top"/>
    </xf>
    <xf numFmtId="0" fontId="6" fillId="0" borderId="4" xfId="0" applyFont="1" applyFill="1" applyBorder="1" applyAlignment="1">
      <alignment vertical="top"/>
    </xf>
    <xf numFmtId="0" fontId="6" fillId="0" borderId="6" xfId="0" applyFont="1" applyFill="1" applyBorder="1" applyAlignment="1">
      <alignment vertical="top"/>
    </xf>
    <xf numFmtId="0" fontId="6" fillId="0" borderId="0" xfId="0" applyFont="1" applyFill="1" applyBorder="1" applyAlignment="1">
      <alignment vertical="top"/>
    </xf>
    <xf numFmtId="0" fontId="6" fillId="5" borderId="3" xfId="0" applyFont="1" applyFill="1" applyBorder="1" applyAlignment="1">
      <alignment horizontal="left" vertical="top"/>
    </xf>
    <xf numFmtId="0" fontId="5" fillId="4" borderId="0" xfId="0" applyFont="1" applyFill="1" applyBorder="1" applyAlignment="1">
      <alignment horizontal="left" vertical="top" wrapText="1"/>
    </xf>
    <xf numFmtId="0" fontId="4" fillId="3" borderId="0" xfId="0" applyFont="1" applyFill="1" applyBorder="1" applyAlignment="1">
      <alignment vertical="top" wrapText="1"/>
    </xf>
    <xf numFmtId="0" fontId="4" fillId="13" borderId="0" xfId="0" applyFont="1" applyFill="1" applyBorder="1" applyAlignment="1">
      <alignment horizontal="left" vertical="top" wrapText="1"/>
    </xf>
    <xf numFmtId="0" fontId="6" fillId="5" borderId="1" xfId="0" applyFont="1" applyFill="1" applyBorder="1" applyAlignment="1">
      <alignment horizontal="left" vertical="top"/>
    </xf>
    <xf numFmtId="0" fontId="4" fillId="5" borderId="1" xfId="0" applyFont="1" applyFill="1" applyBorder="1" applyAlignment="1">
      <alignment horizontal="left" vertical="top" wrapText="1"/>
    </xf>
    <xf numFmtId="0" fontId="4" fillId="10" borderId="1" xfId="0" applyFont="1" applyFill="1" applyBorder="1" applyAlignment="1">
      <alignment horizontal="left" vertical="top" wrapText="1"/>
    </xf>
    <xf numFmtId="0" fontId="4" fillId="10" borderId="1" xfId="0" applyFont="1" applyFill="1" applyBorder="1" applyAlignment="1">
      <alignment horizontal="left" vertical="top"/>
    </xf>
    <xf numFmtId="0" fontId="4" fillId="13" borderId="1" xfId="0" applyFont="1" applyFill="1" applyBorder="1" applyAlignment="1">
      <alignment horizontal="left" vertical="top"/>
    </xf>
    <xf numFmtId="0" fontId="4" fillId="8" borderId="1" xfId="0" applyFont="1" applyFill="1" applyBorder="1" applyAlignment="1">
      <alignment horizontal="left" vertical="top"/>
    </xf>
    <xf numFmtId="0" fontId="6" fillId="5" borderId="0" xfId="0"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0" xfId="0" applyFont="1" applyFill="1" applyBorder="1" applyAlignment="1">
      <alignment horizontal="left" vertical="top"/>
    </xf>
    <xf numFmtId="0" fontId="4" fillId="9" borderId="4" xfId="0" applyFont="1" applyFill="1" applyBorder="1" applyAlignment="1">
      <alignment horizontal="left" vertical="top"/>
    </xf>
    <xf numFmtId="0" fontId="4" fillId="9" borderId="6" xfId="0" applyFont="1" applyFill="1" applyBorder="1" applyAlignment="1">
      <alignment horizontal="left" vertical="top"/>
    </xf>
    <xf numFmtId="0" fontId="5" fillId="9" borderId="0" xfId="0" applyFont="1" applyFill="1" applyBorder="1" applyAlignment="1">
      <alignment horizontal="left" vertical="top" wrapText="1"/>
    </xf>
    <xf numFmtId="0" fontId="6" fillId="3" borderId="0" xfId="0" applyFont="1" applyFill="1" applyBorder="1" applyAlignment="1">
      <alignment vertical="top" wrapText="1"/>
    </xf>
    <xf numFmtId="0" fontId="23" fillId="9" borderId="3" xfId="0" applyFont="1" applyFill="1" applyBorder="1" applyAlignment="1">
      <alignment horizontal="left" vertical="top" wrapText="1"/>
    </xf>
    <xf numFmtId="0" fontId="6" fillId="9" borderId="3" xfId="0" applyFont="1" applyFill="1" applyBorder="1" applyAlignment="1">
      <alignment horizontal="left" vertical="top" wrapText="1"/>
    </xf>
    <xf numFmtId="0" fontId="24" fillId="9" borderId="0" xfId="0" applyFont="1" applyFill="1" applyBorder="1" applyAlignment="1">
      <alignment horizontal="left" vertical="top"/>
    </xf>
    <xf numFmtId="0" fontId="7" fillId="9" borderId="0" xfId="0" applyFont="1" applyFill="1" applyBorder="1" applyAlignment="1">
      <alignment horizontal="left" vertical="top"/>
    </xf>
    <xf numFmtId="0" fontId="0" fillId="3" borderId="0" xfId="0" applyFont="1" applyFill="1" applyBorder="1" applyAlignment="1">
      <alignment vertical="top"/>
    </xf>
    <xf numFmtId="0" fontId="8" fillId="3" borderId="0" xfId="0" applyFont="1" applyFill="1" applyAlignment="1">
      <alignment horizontal="left" vertical="top"/>
    </xf>
    <xf numFmtId="0" fontId="8" fillId="3" borderId="0" xfId="0" applyFont="1" applyFill="1" applyAlignment="1">
      <alignment horizontal="left" vertical="top" wrapText="1"/>
    </xf>
    <xf numFmtId="0" fontId="8" fillId="3" borderId="0" xfId="0" applyFont="1" applyFill="1"/>
    <xf numFmtId="0" fontId="8" fillId="15" borderId="0" xfId="0" applyFont="1" applyFill="1"/>
    <xf numFmtId="0" fontId="0" fillId="15" borderId="0" xfId="0" applyFont="1" applyFill="1"/>
    <xf numFmtId="0" fontId="5" fillId="3" borderId="1" xfId="2" applyFont="1" applyFill="1" applyBorder="1" applyAlignment="1">
      <alignment horizontal="left" vertical="top" wrapText="1"/>
    </xf>
    <xf numFmtId="0" fontId="5" fillId="4" borderId="1" xfId="2" applyFont="1" applyFill="1" applyBorder="1" applyAlignment="1">
      <alignment horizontal="left" vertical="top" wrapText="1"/>
    </xf>
    <xf numFmtId="0" fontId="0" fillId="0" borderId="2" xfId="0" applyBorder="1"/>
    <xf numFmtId="0" fontId="17" fillId="0" borderId="3" xfId="0" applyFont="1" applyFill="1" applyBorder="1" applyAlignment="1">
      <alignment vertical="top" wrapText="1"/>
    </xf>
    <xf numFmtId="0" fontId="17" fillId="2" borderId="3" xfId="0" applyFont="1" applyFill="1" applyBorder="1" applyAlignment="1">
      <alignment vertical="top" wrapText="1"/>
    </xf>
    <xf numFmtId="0" fontId="0" fillId="0" borderId="3" xfId="0" applyFont="1" applyFill="1" applyBorder="1" applyAlignment="1">
      <alignment vertical="top" wrapText="1"/>
    </xf>
    <xf numFmtId="0" fontId="18" fillId="0" borderId="3" xfId="0" applyFont="1" applyFill="1" applyBorder="1" applyAlignment="1">
      <alignment vertical="top"/>
    </xf>
    <xf numFmtId="0" fontId="0" fillId="5" borderId="0" xfId="0" applyFill="1" applyBorder="1" applyAlignment="1">
      <alignment horizontal="left" vertical="top" wrapText="1"/>
    </xf>
    <xf numFmtId="0" fontId="16" fillId="0" borderId="0" xfId="2" applyFill="1" applyBorder="1" applyAlignment="1">
      <alignment horizontal="left" vertical="top" wrapText="1"/>
    </xf>
    <xf numFmtId="0" fontId="0" fillId="0" borderId="2" xfId="0" applyFill="1" applyBorder="1" applyAlignment="1">
      <alignment horizontal="left" vertical="top" wrapText="1"/>
    </xf>
    <xf numFmtId="0" fontId="0" fillId="0" borderId="0" xfId="0" applyAlignment="1">
      <alignment vertical="top"/>
    </xf>
    <xf numFmtId="0" fontId="16" fillId="0" borderId="0" xfId="2" applyAlignment="1">
      <alignment vertical="top"/>
    </xf>
    <xf numFmtId="0" fontId="0" fillId="3" borderId="0" xfId="0" applyFill="1" applyAlignment="1">
      <alignment vertical="top"/>
    </xf>
    <xf numFmtId="0" fontId="0" fillId="18" borderId="0" xfId="0" applyFill="1" applyAlignment="1">
      <alignment vertical="top" wrapText="1"/>
    </xf>
    <xf numFmtId="0" fontId="0" fillId="0" borderId="0" xfId="0" applyFill="1" applyAlignment="1">
      <alignment vertical="top"/>
    </xf>
    <xf numFmtId="2" fontId="4" fillId="6" borderId="4" xfId="0" applyNumberFormat="1" applyFont="1" applyFill="1" applyBorder="1" applyAlignment="1">
      <alignment horizontal="right" vertical="top"/>
    </xf>
    <xf numFmtId="2" fontId="4" fillId="6" borderId="6" xfId="0" applyNumberFormat="1" applyFont="1" applyFill="1" applyBorder="1" applyAlignment="1">
      <alignment horizontal="right" vertical="top"/>
    </xf>
    <xf numFmtId="2" fontId="4" fillId="6" borderId="0" xfId="0" applyNumberFormat="1" applyFont="1" applyFill="1" applyBorder="1" applyAlignment="1">
      <alignment horizontal="right" vertical="top"/>
    </xf>
    <xf numFmtId="2" fontId="4" fillId="6" borderId="10" xfId="0" applyNumberFormat="1" applyFont="1" applyFill="1" applyBorder="1" applyAlignment="1">
      <alignment horizontal="right" vertical="top"/>
    </xf>
    <xf numFmtId="2" fontId="4" fillId="11" borderId="4" xfId="0" applyNumberFormat="1" applyFont="1" applyFill="1" applyBorder="1" applyAlignment="1">
      <alignment horizontal="right" vertical="top"/>
    </xf>
    <xf numFmtId="2" fontId="4" fillId="11" borderId="6" xfId="0" applyNumberFormat="1" applyFont="1" applyFill="1" applyBorder="1" applyAlignment="1">
      <alignment horizontal="right" vertical="top"/>
    </xf>
    <xf numFmtId="2" fontId="4" fillId="11" borderId="0" xfId="0" applyNumberFormat="1" applyFont="1" applyFill="1" applyBorder="1" applyAlignment="1">
      <alignment horizontal="right" vertical="top"/>
    </xf>
    <xf numFmtId="2" fontId="4" fillId="6" borderId="11" xfId="0" applyNumberFormat="1" applyFont="1" applyFill="1" applyBorder="1" applyAlignment="1">
      <alignment horizontal="right" vertical="top"/>
    </xf>
    <xf numFmtId="2" fontId="4" fillId="6" borderId="12" xfId="0" applyNumberFormat="1" applyFont="1" applyFill="1" applyBorder="1" applyAlignment="1">
      <alignment horizontal="right" vertical="top"/>
    </xf>
    <xf numFmtId="2" fontId="4" fillId="6" borderId="1" xfId="0" applyNumberFormat="1" applyFont="1" applyFill="1" applyBorder="1" applyAlignment="1">
      <alignment horizontal="right" vertical="top"/>
    </xf>
    <xf numFmtId="2" fontId="4" fillId="11" borderId="0" xfId="0" applyNumberFormat="1" applyFont="1" applyFill="1" applyBorder="1" applyAlignment="1">
      <alignment horizontal="right" vertical="top" wrapText="1"/>
    </xf>
    <xf numFmtId="2" fontId="4" fillId="11" borderId="7" xfId="0" applyNumberFormat="1" applyFont="1" applyFill="1" applyBorder="1" applyAlignment="1">
      <alignment horizontal="right" vertical="top"/>
    </xf>
    <xf numFmtId="2" fontId="4" fillId="11" borderId="8" xfId="0" applyNumberFormat="1" applyFont="1" applyFill="1" applyBorder="1" applyAlignment="1">
      <alignment horizontal="right" vertical="top"/>
    </xf>
    <xf numFmtId="2" fontId="4" fillId="11" borderId="2" xfId="0" applyNumberFormat="1" applyFont="1" applyFill="1" applyBorder="1" applyAlignment="1">
      <alignment horizontal="right" vertical="top" wrapText="1"/>
    </xf>
    <xf numFmtId="2" fontId="4" fillId="11" borderId="2" xfId="0" applyNumberFormat="1" applyFont="1" applyFill="1" applyBorder="1" applyAlignment="1">
      <alignment horizontal="right" vertical="top"/>
    </xf>
    <xf numFmtId="2" fontId="4" fillId="6" borderId="0" xfId="0" applyNumberFormat="1" applyFont="1" applyFill="1" applyBorder="1" applyAlignment="1">
      <alignment horizontal="right" vertical="top" wrapText="1"/>
    </xf>
    <xf numFmtId="2" fontId="4" fillId="6" borderId="4" xfId="0" applyNumberFormat="1" applyFont="1" applyFill="1" applyBorder="1" applyAlignment="1">
      <alignment horizontal="right" vertical="top" wrapText="1"/>
    </xf>
    <xf numFmtId="2" fontId="4" fillId="6" borderId="6" xfId="0" applyNumberFormat="1" applyFont="1" applyFill="1" applyBorder="1" applyAlignment="1">
      <alignment horizontal="right" vertical="top" wrapText="1"/>
    </xf>
    <xf numFmtId="2" fontId="4" fillId="11" borderId="6" xfId="0" applyNumberFormat="1" applyFont="1" applyFill="1" applyBorder="1" applyAlignment="1">
      <alignment horizontal="right" vertical="top" wrapText="1"/>
    </xf>
    <xf numFmtId="2" fontId="4" fillId="6" borderId="12" xfId="0" applyNumberFormat="1" applyFont="1" applyFill="1" applyBorder="1" applyAlignment="1">
      <alignment horizontal="right" vertical="top" wrapText="1"/>
    </xf>
    <xf numFmtId="2" fontId="4" fillId="11" borderId="4" xfId="0" applyNumberFormat="1" applyFont="1" applyFill="1" applyBorder="1" applyAlignment="1">
      <alignment horizontal="right" vertical="top" wrapText="1"/>
    </xf>
    <xf numFmtId="2" fontId="4" fillId="11" borderId="11" xfId="0" applyNumberFormat="1" applyFont="1" applyFill="1" applyBorder="1" applyAlignment="1">
      <alignment horizontal="right" vertical="top"/>
    </xf>
    <xf numFmtId="2" fontId="4" fillId="11" borderId="12" xfId="0" applyNumberFormat="1" applyFont="1" applyFill="1" applyBorder="1" applyAlignment="1">
      <alignment horizontal="right" vertical="top"/>
    </xf>
    <xf numFmtId="2" fontId="4" fillId="11" borderId="1" xfId="0" applyNumberFormat="1" applyFont="1" applyFill="1" applyBorder="1" applyAlignment="1">
      <alignment horizontal="right" vertical="top"/>
    </xf>
    <xf numFmtId="0" fontId="4" fillId="10" borderId="2" xfId="0" applyFont="1" applyFill="1" applyBorder="1" applyAlignment="1">
      <alignment horizontal="left" vertical="top"/>
    </xf>
    <xf numFmtId="0" fontId="4" fillId="13" borderId="2" xfId="0" applyFont="1" applyFill="1" applyBorder="1" applyAlignment="1">
      <alignment horizontal="left" vertical="top"/>
    </xf>
    <xf numFmtId="0" fontId="6" fillId="9" borderId="6" xfId="0" applyFont="1" applyFill="1" applyBorder="1" applyAlignment="1">
      <alignment horizontal="left" vertical="top"/>
    </xf>
    <xf numFmtId="0" fontId="11" fillId="5" borderId="0" xfId="0" applyFont="1" applyFill="1" applyAlignment="1">
      <alignment vertical="top"/>
    </xf>
    <xf numFmtId="164" fontId="6" fillId="0" borderId="10" xfId="0" applyNumberFormat="1" applyFont="1" applyFill="1" applyBorder="1" applyAlignment="1">
      <alignment horizontal="right" vertical="top"/>
    </xf>
    <xf numFmtId="164" fontId="6" fillId="0" borderId="13" xfId="0" applyNumberFormat="1" applyFont="1" applyFill="1" applyBorder="1" applyAlignment="1">
      <alignment horizontal="right" vertical="top"/>
    </xf>
    <xf numFmtId="164" fontId="7" fillId="0" borderId="0" xfId="0" applyNumberFormat="1" applyFont="1" applyFill="1" applyBorder="1" applyAlignment="1">
      <alignment horizontal="right" vertical="top"/>
    </xf>
    <xf numFmtId="2" fontId="6" fillId="0" borderId="10" xfId="0" applyNumberFormat="1" applyFont="1" applyFill="1" applyBorder="1" applyAlignment="1">
      <alignment horizontal="right" vertical="top"/>
    </xf>
    <xf numFmtId="0" fontId="7" fillId="3" borderId="0" xfId="0" applyFont="1" applyFill="1" applyBorder="1" applyAlignment="1">
      <alignment horizontal="center" vertical="top"/>
    </xf>
    <xf numFmtId="0" fontId="7" fillId="3" borderId="6" xfId="0" applyFont="1" applyFill="1" applyBorder="1" applyAlignment="1">
      <alignment horizontal="center" vertical="top"/>
    </xf>
    <xf numFmtId="0" fontId="7" fillId="3" borderId="0" xfId="0" applyFont="1" applyFill="1" applyBorder="1" applyAlignment="1">
      <alignment horizontal="center" vertical="top" wrapText="1"/>
    </xf>
    <xf numFmtId="9" fontId="6" fillId="3" borderId="6" xfId="1" applyFont="1" applyFill="1" applyBorder="1" applyAlignment="1">
      <alignment horizontal="right" vertical="top"/>
    </xf>
    <xf numFmtId="9" fontId="6" fillId="3" borderId="0" xfId="1" applyFont="1" applyFill="1" applyBorder="1" applyAlignment="1">
      <alignment horizontal="right" vertical="top"/>
    </xf>
    <xf numFmtId="164" fontId="6" fillId="0" borderId="6" xfId="0" applyNumberFormat="1" applyFont="1" applyFill="1" applyBorder="1" applyAlignment="1">
      <alignment horizontal="right" vertical="top"/>
    </xf>
    <xf numFmtId="0" fontId="11" fillId="5" borderId="0" xfId="0" applyFont="1" applyFill="1" applyAlignment="1">
      <alignment vertical="top"/>
    </xf>
    <xf numFmtId="0" fontId="5" fillId="5" borderId="0" xfId="0" applyFont="1" applyFill="1" applyAlignment="1">
      <alignment vertical="top"/>
    </xf>
    <xf numFmtId="0" fontId="11" fillId="5" borderId="0" xfId="0" applyFont="1" applyFill="1" applyAlignment="1">
      <alignment vertical="top" wrapText="1"/>
    </xf>
    <xf numFmtId="0" fontId="4" fillId="0" borderId="0" xfId="0" applyFont="1" applyAlignment="1">
      <alignment vertical="top" wrapText="1"/>
    </xf>
    <xf numFmtId="0" fontId="0" fillId="15" borderId="0" xfId="0" applyFill="1" applyAlignment="1">
      <alignment horizontal="center"/>
    </xf>
    <xf numFmtId="0" fontId="0" fillId="0" borderId="0" xfId="0"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16668</xdr:colOff>
      <xdr:row>20</xdr:row>
      <xdr:rowOff>11906</xdr:rowOff>
    </xdr:from>
    <xdr:to>
      <xdr:col>8</xdr:col>
      <xdr:colOff>276226</xdr:colOff>
      <xdr:row>24</xdr:row>
      <xdr:rowOff>50007</xdr:rowOff>
    </xdr:to>
    <xdr:pic>
      <xdr:nvPicPr>
        <xdr:cNvPr id="7" name="Picture 6"/>
        <xdr:cNvPicPr>
          <a:picLocks noChangeAspect="1"/>
        </xdr:cNvPicPr>
      </xdr:nvPicPr>
      <xdr:blipFill>
        <a:blip xmlns:r="http://schemas.openxmlformats.org/officeDocument/2006/relationships" r:embed="rId1"/>
        <a:stretch>
          <a:fillRect/>
        </a:stretch>
      </xdr:blipFill>
      <xdr:spPr>
        <a:xfrm>
          <a:off x="3100387" y="7870031"/>
          <a:ext cx="2688433" cy="1347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FOLU%20Emissions%20Projections%2011%2021%202014%20clean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itle Page"/>
      <sheetName val="II. Summary"/>
      <sheetName val="III. Database"/>
      <sheetName val="IV. Database_2"/>
      <sheetName val="V. Database_Clean"/>
      <sheetName val="V. Global"/>
      <sheetName val="VI. Brazil"/>
      <sheetName val="VII. China"/>
      <sheetName val="VIII. DRC"/>
      <sheetName val="IX. India"/>
      <sheetName val="X. Indonesia"/>
      <sheetName val="XI. Mexico"/>
      <sheetName val="XII. U.S."/>
    </sheetNames>
    <sheetDataSet>
      <sheetData sheetId="0"/>
      <sheetData sheetId="1"/>
      <sheetData sheetId="2"/>
      <sheetData sheetId="3"/>
      <sheetData sheetId="4">
        <row r="5">
          <cell r="O5" t="str">
            <v/>
          </cell>
          <cell r="P5" t="str">
            <v/>
          </cell>
        </row>
        <row r="6">
          <cell r="O6" t="str">
            <v/>
          </cell>
          <cell r="P6" t="str">
            <v/>
          </cell>
        </row>
        <row r="7">
          <cell r="O7" t="str">
            <v/>
          </cell>
          <cell r="P7" t="str">
            <v/>
          </cell>
        </row>
        <row r="8">
          <cell r="O8" t="str">
            <v>N/A</v>
          </cell>
          <cell r="P8">
            <v>1.62</v>
          </cell>
        </row>
        <row r="9">
          <cell r="O9" t="str">
            <v/>
          </cell>
          <cell r="P9" t="str">
            <v/>
          </cell>
        </row>
        <row r="10">
          <cell r="O10">
            <v>0.45</v>
          </cell>
          <cell r="P10">
            <v>0.57400000000000007</v>
          </cell>
        </row>
        <row r="11">
          <cell r="O11" t="str">
            <v/>
          </cell>
          <cell r="P11" t="str">
            <v/>
          </cell>
        </row>
        <row r="12">
          <cell r="O12" t="str">
            <v/>
          </cell>
          <cell r="P12" t="str">
            <v/>
          </cell>
        </row>
        <row r="13">
          <cell r="O13">
            <v>0.47666666666666668</v>
          </cell>
          <cell r="P13">
            <v>0.47666666666666668</v>
          </cell>
        </row>
        <row r="14">
          <cell r="O14" t="str">
            <v/>
          </cell>
          <cell r="P14" t="str">
            <v/>
          </cell>
        </row>
        <row r="15">
          <cell r="O15">
            <v>0.25645763412803563</v>
          </cell>
          <cell r="P15">
            <v>0.25645763412803563</v>
          </cell>
        </row>
        <row r="16">
          <cell r="O16" t="str">
            <v/>
          </cell>
          <cell r="P16" t="str">
            <v/>
          </cell>
        </row>
        <row r="17">
          <cell r="O17" t="str">
            <v>N/A</v>
          </cell>
          <cell r="P17">
            <v>0.8</v>
          </cell>
        </row>
        <row r="18">
          <cell r="O18" t="str">
            <v/>
          </cell>
          <cell r="P18" t="str">
            <v/>
          </cell>
        </row>
        <row r="19">
          <cell r="O19">
            <v>1.1732264620031869</v>
          </cell>
          <cell r="P19">
            <v>1.1732264620031869</v>
          </cell>
        </row>
        <row r="20">
          <cell r="O20" t="str">
            <v/>
          </cell>
          <cell r="P20" t="str">
            <v/>
          </cell>
        </row>
        <row r="21">
          <cell r="O21" t="str">
            <v/>
          </cell>
          <cell r="P21" t="str">
            <v/>
          </cell>
        </row>
        <row r="22">
          <cell r="O22" t="str">
            <v/>
          </cell>
          <cell r="P22" t="str">
            <v/>
          </cell>
        </row>
        <row r="23">
          <cell r="O23" t="str">
            <v/>
          </cell>
          <cell r="P23" t="str">
            <v/>
          </cell>
        </row>
        <row r="24">
          <cell r="O24" t="str">
            <v/>
          </cell>
          <cell r="P24" t="str">
            <v/>
          </cell>
        </row>
        <row r="25">
          <cell r="O25">
            <v>2.0112189999999863E-2</v>
          </cell>
          <cell r="P25">
            <v>2.0119000000000054E-2</v>
          </cell>
        </row>
        <row r="26">
          <cell r="O26" t="str">
            <v/>
          </cell>
          <cell r="P26" t="str">
            <v/>
          </cell>
        </row>
        <row r="27">
          <cell r="O27">
            <v>2.1177778093609094E-2</v>
          </cell>
          <cell r="P27">
            <v>2.1177778093609094E-2</v>
          </cell>
        </row>
        <row r="28">
          <cell r="O28" t="str">
            <v/>
          </cell>
          <cell r="P28" t="str">
            <v/>
          </cell>
        </row>
        <row r="29">
          <cell r="O29">
            <v>0.16099999999999998</v>
          </cell>
          <cell r="P29">
            <v>0.15899999999999997</v>
          </cell>
        </row>
        <row r="30">
          <cell r="O30" t="str">
            <v/>
          </cell>
          <cell r="P30" t="str">
            <v/>
          </cell>
        </row>
        <row r="31">
          <cell r="O31">
            <v>0.68583626906044381</v>
          </cell>
          <cell r="P31">
            <v>0.68583626906044381</v>
          </cell>
        </row>
        <row r="32">
          <cell r="O32" t="str">
            <v/>
          </cell>
          <cell r="P32" t="str">
            <v/>
          </cell>
        </row>
        <row r="33">
          <cell r="O33" t="str">
            <v/>
          </cell>
          <cell r="P33" t="str">
            <v/>
          </cell>
        </row>
        <row r="34">
          <cell r="O34" t="str">
            <v/>
          </cell>
          <cell r="P34" t="str">
            <v/>
          </cell>
        </row>
        <row r="35">
          <cell r="O35" t="str">
            <v>N/A</v>
          </cell>
          <cell r="P35">
            <v>0.39700000000000002</v>
          </cell>
        </row>
        <row r="36">
          <cell r="O36" t="str">
            <v/>
          </cell>
          <cell r="P36" t="str">
            <v/>
          </cell>
        </row>
        <row r="37">
          <cell r="O37">
            <v>1.0115733215986704</v>
          </cell>
          <cell r="P37">
            <v>1.0115733215986704</v>
          </cell>
        </row>
        <row r="38">
          <cell r="O38" t="str">
            <v/>
          </cell>
          <cell r="P38" t="str">
            <v/>
          </cell>
        </row>
        <row r="39">
          <cell r="O39" t="str">
            <v/>
          </cell>
          <cell r="P39" t="str">
            <v/>
          </cell>
        </row>
        <row r="40">
          <cell r="O40" t="str">
            <v/>
          </cell>
          <cell r="P40" t="str">
            <v/>
          </cell>
        </row>
        <row r="41">
          <cell r="O41" t="str">
            <v>N/A</v>
          </cell>
          <cell r="P41">
            <v>1.3090000000000002</v>
          </cell>
        </row>
        <row r="42">
          <cell r="O42" t="str">
            <v/>
          </cell>
          <cell r="P42" t="str">
            <v/>
          </cell>
        </row>
        <row r="43">
          <cell r="O43" t="str">
            <v/>
          </cell>
          <cell r="P43" t="str">
            <v/>
          </cell>
        </row>
        <row r="44">
          <cell r="O44" t="str">
            <v/>
          </cell>
          <cell r="P44" t="str">
            <v/>
          </cell>
        </row>
        <row r="45">
          <cell r="O45" t="str">
            <v/>
          </cell>
          <cell r="P45" t="str">
            <v/>
          </cell>
        </row>
        <row r="46">
          <cell r="O46" t="str">
            <v/>
          </cell>
          <cell r="P46" t="str">
            <v/>
          </cell>
        </row>
        <row r="47">
          <cell r="O47" t="str">
            <v/>
          </cell>
          <cell r="P47" t="str">
            <v/>
          </cell>
        </row>
        <row r="48">
          <cell r="O48" t="str">
            <v/>
          </cell>
          <cell r="P48" t="str">
            <v/>
          </cell>
        </row>
        <row r="49">
          <cell r="O49" t="str">
            <v/>
          </cell>
          <cell r="P49" t="str">
            <v/>
          </cell>
        </row>
        <row r="50">
          <cell r="O50" t="str">
            <v/>
          </cell>
          <cell r="P50" t="str">
            <v/>
          </cell>
        </row>
        <row r="51">
          <cell r="O51" t="str">
            <v/>
          </cell>
          <cell r="P51" t="str">
            <v/>
          </cell>
        </row>
        <row r="52">
          <cell r="O52" t="str">
            <v/>
          </cell>
          <cell r="P52" t="str">
            <v/>
          </cell>
        </row>
        <row r="53">
          <cell r="O53">
            <v>2.7670000000000003</v>
          </cell>
          <cell r="P53">
            <v>0.80499999999999994</v>
          </cell>
        </row>
        <row r="54">
          <cell r="O54" t="str">
            <v/>
          </cell>
          <cell r="P54" t="str">
            <v/>
          </cell>
        </row>
        <row r="55">
          <cell r="O55">
            <v>0.57109210451691628</v>
          </cell>
          <cell r="P55">
            <v>0.57109210451691628</v>
          </cell>
        </row>
        <row r="56">
          <cell r="O56" t="str">
            <v/>
          </cell>
          <cell r="P56" t="str">
            <v/>
          </cell>
        </row>
        <row r="57">
          <cell r="O57" t="str">
            <v/>
          </cell>
          <cell r="P57" t="str">
            <v/>
          </cell>
        </row>
        <row r="58">
          <cell r="O58">
            <v>6.9909090909090921E-2</v>
          </cell>
          <cell r="P58">
            <v>0.16199999999999998</v>
          </cell>
        </row>
        <row r="59">
          <cell r="O59" t="str">
            <v/>
          </cell>
          <cell r="P59" t="str">
            <v/>
          </cell>
        </row>
        <row r="60">
          <cell r="O60">
            <v>0.3741565</v>
          </cell>
          <cell r="P60">
            <v>0.31231700000000001</v>
          </cell>
        </row>
        <row r="61">
          <cell r="O61" t="str">
            <v/>
          </cell>
          <cell r="P61"/>
        </row>
        <row r="62">
          <cell r="O62">
            <v>0.15103668869187636</v>
          </cell>
          <cell r="P62">
            <v>0.15103668869187636</v>
          </cell>
        </row>
        <row r="63">
          <cell r="O63" t="str">
            <v/>
          </cell>
          <cell r="P63" t="str">
            <v/>
          </cell>
        </row>
        <row r="64">
          <cell r="O64" t="str">
            <v>N/A</v>
          </cell>
          <cell r="P64">
            <v>0.44</v>
          </cell>
        </row>
        <row r="65">
          <cell r="O65" t="str">
            <v/>
          </cell>
          <cell r="P65" t="str">
            <v/>
          </cell>
        </row>
        <row r="66">
          <cell r="O66">
            <v>1.9348767201834864</v>
          </cell>
          <cell r="P66">
            <v>5.8046301605504595</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mckinsey.com/client_service/sustainability/latest_thinking/greenhouse_gas_abatement_cost_curves" TargetMode="External"/><Relationship Id="rId3" Type="http://schemas.openxmlformats.org/officeDocument/2006/relationships/hyperlink" Target="https://unfccc.int/files/adaptation/application/pdf/nigerianeeds.pdf" TargetMode="External"/><Relationship Id="rId7" Type="http://schemas.openxmlformats.org/officeDocument/2006/relationships/hyperlink" Target="https://cleanenergysolutions.org/content/brazil-low-carbon-country-case-study" TargetMode="External"/><Relationship Id="rId2" Type="http://schemas.openxmlformats.org/officeDocument/2006/relationships/hyperlink" Target="http://unfccc.int/files/methods/redd/submissions/application/pdf/redd_20100708_drc_2-20091211.pdf" TargetMode="External"/><Relationship Id="rId1" Type="http://schemas.openxmlformats.org/officeDocument/2006/relationships/hyperlink" Target="http://unfccc.int/files/adaptation/application/pdf/indonesianeeds.pdf" TargetMode="External"/><Relationship Id="rId6" Type="http://schemas.openxmlformats.org/officeDocument/2006/relationships/hyperlink" Target="http://www.sciencedirect.com/science/article/pii/S0959378014001046" TargetMode="External"/><Relationship Id="rId5" Type="http://schemas.openxmlformats.org/officeDocument/2006/relationships/hyperlink" Target="http://www.interciencia.org/v20_06/art12/" TargetMode="External"/><Relationship Id="rId4" Type="http://schemas.openxmlformats.org/officeDocument/2006/relationships/hyperlink" Target="http://www.mmechanisms.org/document/country/IDN/Indonesia_ghg_cost_curve_english.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www.mckinsey.com/client_service/sustainability/latest_thinking/greenhouse_gas_abatement_cost_curves"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dx.doi.org/10.1155/2013/919013" TargetMode="External"/><Relationship Id="rId1" Type="http://schemas.openxmlformats.org/officeDocument/2006/relationships/hyperlink" Target="http://www.state.gov/documents/organization/218993.pdf"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en.wikipedia.org/wiki/Latin_America" TargetMode="External"/><Relationship Id="rId1" Type="http://schemas.openxmlformats.org/officeDocument/2006/relationships/hyperlink" Target="http://en.wikipedia.org/wiki/Andor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tabSelected="1" topLeftCell="A22" zoomScale="80" zoomScaleNormal="80" workbookViewId="0">
      <selection activeCell="J8" sqref="J8"/>
    </sheetView>
  </sheetViews>
  <sheetFormatPr defaultRowHeight="15" x14ac:dyDescent="0.25"/>
  <cols>
    <col min="1" max="1" width="9.140625" style="2"/>
    <col min="2" max="2" width="4.42578125" style="2" customWidth="1"/>
    <col min="3" max="3" width="9.140625" style="2"/>
    <col min="4" max="4" width="23.5703125" style="2" customWidth="1"/>
    <col min="5" max="13" width="9.140625" style="2"/>
    <col min="14" max="14" width="27.7109375" style="2" customWidth="1"/>
    <col min="15" max="15" width="9.140625" style="2"/>
    <col min="16" max="16" width="34.7109375" style="2" customWidth="1"/>
    <col min="17" max="17" width="4" style="2" customWidth="1"/>
    <col min="18" max="16384" width="9.140625" style="2"/>
  </cols>
  <sheetData>
    <row r="1" spans="1:18" x14ac:dyDescent="0.25">
      <c r="A1" s="23"/>
      <c r="B1" s="23"/>
      <c r="C1" s="23"/>
      <c r="D1" s="23"/>
      <c r="E1" s="23"/>
      <c r="F1" s="23"/>
      <c r="G1" s="23"/>
      <c r="H1" s="23"/>
      <c r="I1" s="23"/>
      <c r="J1" s="23"/>
      <c r="K1" s="23"/>
      <c r="L1" s="23"/>
      <c r="M1" s="23"/>
      <c r="N1" s="23"/>
      <c r="O1" s="23"/>
      <c r="P1" s="23"/>
      <c r="Q1" s="23"/>
      <c r="R1" s="23"/>
    </row>
    <row r="2" spans="1:18" x14ac:dyDescent="0.25">
      <c r="A2" s="24"/>
      <c r="B2" s="25" t="s">
        <v>28</v>
      </c>
      <c r="C2" s="25"/>
      <c r="D2" s="25"/>
      <c r="E2" s="25"/>
      <c r="F2" s="25"/>
      <c r="G2" s="25"/>
      <c r="H2" s="25"/>
      <c r="I2" s="25"/>
      <c r="J2" s="25"/>
      <c r="K2" s="25"/>
      <c r="L2" s="25"/>
      <c r="M2" s="25"/>
      <c r="N2" s="25"/>
      <c r="O2" s="25"/>
      <c r="P2" s="25"/>
      <c r="Q2" s="25"/>
      <c r="R2" s="24"/>
    </row>
    <row r="3" spans="1:18" ht="15.75" x14ac:dyDescent="0.25">
      <c r="A3" s="23"/>
      <c r="B3" s="25"/>
      <c r="C3" s="53"/>
      <c r="D3" s="53"/>
      <c r="E3" s="53"/>
      <c r="F3" s="53"/>
      <c r="G3" s="53"/>
      <c r="H3" s="53"/>
      <c r="I3" s="53"/>
      <c r="J3" s="53"/>
      <c r="K3" s="53"/>
      <c r="L3" s="53"/>
      <c r="M3" s="53"/>
      <c r="N3" s="53"/>
      <c r="O3" s="53"/>
      <c r="P3" s="26"/>
      <c r="Q3" s="25"/>
      <c r="R3" s="23"/>
    </row>
    <row r="4" spans="1:18" ht="28.5" x14ac:dyDescent="0.45">
      <c r="A4" s="23"/>
      <c r="B4" s="25"/>
      <c r="C4" s="53"/>
      <c r="D4" s="56" t="s">
        <v>35</v>
      </c>
      <c r="E4" s="57"/>
      <c r="F4" s="57"/>
      <c r="G4" s="53"/>
      <c r="H4" s="53"/>
      <c r="I4" s="53"/>
      <c r="J4" s="53"/>
      <c r="K4" s="53"/>
      <c r="L4" s="53"/>
      <c r="M4" s="53"/>
      <c r="N4" s="53"/>
      <c r="O4" s="53"/>
      <c r="P4" s="26"/>
      <c r="Q4" s="25"/>
      <c r="R4" s="23"/>
    </row>
    <row r="5" spans="1:18" ht="15.75" x14ac:dyDescent="0.25">
      <c r="A5" s="23"/>
      <c r="B5" s="25"/>
      <c r="C5" s="53"/>
      <c r="D5" s="53"/>
      <c r="E5" s="53"/>
      <c r="F5" s="53"/>
      <c r="G5" s="53"/>
      <c r="H5" s="53"/>
      <c r="I5" s="53"/>
      <c r="J5" s="53"/>
      <c r="K5" s="53"/>
      <c r="L5" s="53"/>
      <c r="M5" s="53"/>
      <c r="N5" s="53"/>
      <c r="O5" s="53"/>
      <c r="P5" s="26"/>
      <c r="Q5" s="25"/>
      <c r="R5" s="23"/>
    </row>
    <row r="6" spans="1:18" ht="15.75" x14ac:dyDescent="0.25">
      <c r="A6" s="23"/>
      <c r="B6" s="25"/>
      <c r="C6" s="53"/>
      <c r="D6" s="53"/>
      <c r="E6" s="53"/>
      <c r="F6" s="53"/>
      <c r="G6" s="53"/>
      <c r="H6" s="53"/>
      <c r="I6" s="53"/>
      <c r="J6" s="53"/>
      <c r="K6" s="53"/>
      <c r="L6" s="53"/>
      <c r="M6" s="53"/>
      <c r="N6" s="53"/>
      <c r="O6" s="53"/>
      <c r="P6" s="26"/>
      <c r="Q6" s="25"/>
      <c r="R6" s="23"/>
    </row>
    <row r="7" spans="1:18" ht="15.75" x14ac:dyDescent="0.25">
      <c r="A7" s="23"/>
      <c r="B7" s="25"/>
      <c r="C7" s="53"/>
      <c r="D7" s="54" t="s">
        <v>29</v>
      </c>
      <c r="E7" s="310" t="s">
        <v>37</v>
      </c>
      <c r="F7" s="310"/>
      <c r="G7" s="310"/>
      <c r="H7" s="310"/>
      <c r="I7" s="310"/>
      <c r="J7" s="310"/>
      <c r="K7" s="310"/>
      <c r="L7" s="311"/>
      <c r="M7" s="311"/>
      <c r="N7" s="311"/>
      <c r="O7" s="53"/>
      <c r="P7" s="26"/>
      <c r="Q7" s="25"/>
      <c r="R7" s="23"/>
    </row>
    <row r="8" spans="1:18" ht="15.75" x14ac:dyDescent="0.25">
      <c r="A8" s="23"/>
      <c r="B8" s="25"/>
      <c r="C8" s="53"/>
      <c r="D8" s="54" t="s">
        <v>30</v>
      </c>
      <c r="E8" s="54" t="s">
        <v>40</v>
      </c>
      <c r="F8" s="54"/>
      <c r="G8" s="54"/>
      <c r="H8" s="54"/>
      <c r="I8" s="54"/>
      <c r="J8" s="54"/>
      <c r="K8" s="54"/>
      <c r="L8" s="54"/>
      <c r="M8" s="54"/>
      <c r="N8" s="54"/>
      <c r="O8" s="53"/>
      <c r="P8" s="26"/>
      <c r="Q8" s="25"/>
      <c r="R8" s="23"/>
    </row>
    <row r="9" spans="1:18" ht="15.75" x14ac:dyDescent="0.25">
      <c r="A9" s="23"/>
      <c r="B9" s="25"/>
      <c r="C9" s="53"/>
      <c r="D9" s="54"/>
      <c r="E9" s="54"/>
      <c r="F9" s="54"/>
      <c r="G9" s="54"/>
      <c r="H9" s="54"/>
      <c r="I9" s="54"/>
      <c r="J9" s="54"/>
      <c r="K9" s="54"/>
      <c r="L9" s="54"/>
      <c r="M9" s="54"/>
      <c r="N9" s="54"/>
      <c r="O9" s="53"/>
      <c r="P9" s="26"/>
      <c r="Q9" s="25"/>
      <c r="R9" s="23"/>
    </row>
    <row r="10" spans="1:18" ht="100.5" customHeight="1" x14ac:dyDescent="0.25">
      <c r="A10" s="23"/>
      <c r="B10" s="25"/>
      <c r="C10" s="53"/>
      <c r="D10" s="54" t="s">
        <v>31</v>
      </c>
      <c r="E10" s="312" t="s">
        <v>591</v>
      </c>
      <c r="F10" s="313"/>
      <c r="G10" s="313"/>
      <c r="H10" s="313"/>
      <c r="I10" s="313"/>
      <c r="J10" s="313"/>
      <c r="K10" s="313"/>
      <c r="L10" s="313"/>
      <c r="M10" s="313"/>
      <c r="N10" s="313"/>
      <c r="O10" s="53"/>
      <c r="P10" s="26"/>
      <c r="Q10" s="25"/>
      <c r="R10" s="23"/>
    </row>
    <row r="11" spans="1:18" ht="15.75" x14ac:dyDescent="0.25">
      <c r="A11" s="23"/>
      <c r="B11" s="25"/>
      <c r="C11" s="53"/>
      <c r="D11" s="54"/>
      <c r="E11" s="54"/>
      <c r="F11" s="54"/>
      <c r="G11" s="54"/>
      <c r="H11" s="54"/>
      <c r="I11" s="54"/>
      <c r="J11" s="54"/>
      <c r="K11" s="54"/>
      <c r="L11" s="54"/>
      <c r="M11" s="54"/>
      <c r="N11" s="54"/>
      <c r="O11" s="53"/>
      <c r="P11" s="26"/>
      <c r="Q11" s="25"/>
      <c r="R11" s="23"/>
    </row>
    <row r="12" spans="1:18" ht="189.75" customHeight="1" x14ac:dyDescent="0.25">
      <c r="A12" s="23"/>
      <c r="B12" s="25"/>
      <c r="C12" s="53"/>
      <c r="D12" s="54" t="s">
        <v>32</v>
      </c>
      <c r="E12" s="312" t="s">
        <v>41</v>
      </c>
      <c r="F12" s="313"/>
      <c r="G12" s="313"/>
      <c r="H12" s="313"/>
      <c r="I12" s="313"/>
      <c r="J12" s="313"/>
      <c r="K12" s="313"/>
      <c r="L12" s="313"/>
      <c r="M12" s="313"/>
      <c r="N12" s="313"/>
      <c r="O12" s="53"/>
      <c r="P12" s="26"/>
      <c r="Q12" s="25"/>
      <c r="R12" s="23"/>
    </row>
    <row r="13" spans="1:18" ht="108" customHeight="1" x14ac:dyDescent="0.25">
      <c r="A13" s="23"/>
      <c r="B13" s="25"/>
      <c r="C13" s="53"/>
      <c r="D13" s="299" t="s">
        <v>556</v>
      </c>
      <c r="E13" s="312" t="s">
        <v>588</v>
      </c>
      <c r="F13" s="313"/>
      <c r="G13" s="313"/>
      <c r="H13" s="313"/>
      <c r="I13" s="313"/>
      <c r="J13" s="313"/>
      <c r="K13" s="313"/>
      <c r="L13" s="313"/>
      <c r="M13" s="313"/>
      <c r="N13" s="313"/>
      <c r="O13" s="53"/>
      <c r="P13" s="26"/>
      <c r="Q13" s="25"/>
      <c r="R13" s="23"/>
    </row>
    <row r="14" spans="1:18" ht="16.5" customHeight="1" x14ac:dyDescent="0.25">
      <c r="A14" s="23"/>
      <c r="B14" s="25"/>
      <c r="C14" s="53"/>
      <c r="D14" s="74"/>
      <c r="E14" s="75"/>
      <c r="F14" s="75"/>
      <c r="G14" s="75"/>
      <c r="H14" s="75"/>
      <c r="I14" s="75"/>
      <c r="J14" s="75"/>
      <c r="K14" s="75"/>
      <c r="L14" s="75"/>
      <c r="M14" s="75"/>
      <c r="N14" s="75"/>
      <c r="O14" s="53"/>
      <c r="P14" s="26"/>
      <c r="Q14" s="25"/>
      <c r="R14" s="23"/>
    </row>
    <row r="15" spans="1:18" ht="15.75" x14ac:dyDescent="0.25">
      <c r="A15" s="23"/>
      <c r="B15" s="25"/>
      <c r="C15" s="53"/>
      <c r="D15" s="54" t="s">
        <v>36</v>
      </c>
      <c r="E15" s="55" t="s">
        <v>39</v>
      </c>
      <c r="F15" s="54"/>
      <c r="G15" s="54"/>
      <c r="H15" s="54"/>
      <c r="I15" s="54"/>
      <c r="J15" s="54"/>
      <c r="K15" s="54"/>
      <c r="L15" s="54"/>
      <c r="M15" s="54"/>
      <c r="N15" s="54"/>
      <c r="O15" s="53"/>
      <c r="P15" s="26"/>
      <c r="Q15" s="25"/>
      <c r="R15" s="23"/>
    </row>
    <row r="16" spans="1:18" ht="15.75" x14ac:dyDescent="0.25">
      <c r="A16" s="23"/>
      <c r="B16" s="25"/>
      <c r="C16" s="53"/>
      <c r="D16" s="54"/>
      <c r="E16" s="54"/>
      <c r="F16" s="54"/>
      <c r="G16" s="54"/>
      <c r="H16" s="54"/>
      <c r="I16" s="54"/>
      <c r="J16" s="54"/>
      <c r="K16" s="54"/>
      <c r="L16" s="54"/>
      <c r="M16" s="54"/>
      <c r="N16" s="54"/>
      <c r="O16" s="53"/>
      <c r="P16" s="27"/>
      <c r="Q16" s="25"/>
      <c r="R16" s="23"/>
    </row>
    <row r="17" spans="1:18" ht="36.75" customHeight="1" x14ac:dyDescent="0.25">
      <c r="A17" s="23"/>
      <c r="B17" s="25"/>
      <c r="C17" s="53"/>
      <c r="D17" s="54" t="s">
        <v>33</v>
      </c>
      <c r="E17" s="312" t="s">
        <v>590</v>
      </c>
      <c r="F17" s="312"/>
      <c r="G17" s="312"/>
      <c r="H17" s="312"/>
      <c r="I17" s="312"/>
      <c r="J17" s="312"/>
      <c r="K17" s="312"/>
      <c r="L17" s="312"/>
      <c r="M17" s="312"/>
      <c r="N17" s="312"/>
      <c r="O17" s="53"/>
      <c r="P17" s="26"/>
      <c r="Q17" s="25"/>
      <c r="R17" s="23"/>
    </row>
    <row r="18" spans="1:18" ht="20.25" customHeight="1" x14ac:dyDescent="0.25">
      <c r="A18" s="23"/>
      <c r="B18" s="25"/>
      <c r="C18" s="53"/>
      <c r="D18" s="54"/>
      <c r="E18" s="54"/>
      <c r="F18" s="54"/>
      <c r="G18" s="54"/>
      <c r="H18" s="54"/>
      <c r="I18" s="54"/>
      <c r="J18" s="54"/>
      <c r="K18" s="54"/>
      <c r="L18" s="54"/>
      <c r="M18" s="54"/>
      <c r="N18" s="54"/>
      <c r="O18" s="53"/>
      <c r="P18" s="26"/>
      <c r="Q18" s="25"/>
      <c r="R18" s="23"/>
    </row>
    <row r="19" spans="1:18" ht="38.25" customHeight="1" x14ac:dyDescent="0.25">
      <c r="A19" s="23"/>
      <c r="B19" s="25"/>
      <c r="C19" s="53"/>
      <c r="D19" s="54" t="s">
        <v>34</v>
      </c>
      <c r="E19" s="312" t="s">
        <v>42</v>
      </c>
      <c r="F19" s="313"/>
      <c r="G19" s="313"/>
      <c r="H19" s="313"/>
      <c r="I19" s="313"/>
      <c r="J19" s="313"/>
      <c r="K19" s="313"/>
      <c r="L19" s="313"/>
      <c r="M19" s="313"/>
      <c r="N19" s="313"/>
      <c r="O19" s="53"/>
      <c r="P19" s="27"/>
      <c r="Q19" s="25"/>
      <c r="R19" s="23"/>
    </row>
    <row r="20" spans="1:18" x14ac:dyDescent="0.25">
      <c r="A20" s="23"/>
      <c r="B20" s="25"/>
      <c r="C20" s="26"/>
      <c r="D20" s="19"/>
      <c r="E20" s="20"/>
      <c r="F20" s="19"/>
      <c r="G20" s="19"/>
      <c r="H20" s="19"/>
      <c r="I20" s="19"/>
      <c r="J20" s="19"/>
      <c r="K20" s="19"/>
      <c r="L20" s="19"/>
      <c r="M20" s="19"/>
      <c r="N20" s="19"/>
      <c r="O20" s="26"/>
      <c r="P20" s="27"/>
      <c r="Q20" s="25"/>
      <c r="R20" s="23"/>
    </row>
    <row r="21" spans="1:18" x14ac:dyDescent="0.25">
      <c r="A21" s="23"/>
      <c r="B21" s="25"/>
      <c r="C21" s="26"/>
      <c r="D21" s="19"/>
      <c r="E21" s="22"/>
      <c r="F21" s="21"/>
      <c r="G21" s="21"/>
      <c r="H21" s="21"/>
      <c r="I21" s="21"/>
      <c r="J21" s="21"/>
      <c r="K21" s="21"/>
      <c r="L21" s="21"/>
      <c r="M21" s="21"/>
      <c r="N21" s="21"/>
      <c r="O21" s="26"/>
      <c r="P21" s="27"/>
      <c r="Q21" s="25"/>
      <c r="R21" s="23"/>
    </row>
    <row r="22" spans="1:18" x14ac:dyDescent="0.25">
      <c r="A22" s="23"/>
      <c r="B22" s="25"/>
      <c r="C22" s="26"/>
      <c r="D22" s="19"/>
      <c r="E22" s="22"/>
      <c r="F22" s="21"/>
      <c r="G22" s="21"/>
      <c r="H22" s="21"/>
      <c r="I22" s="21"/>
      <c r="J22" s="21"/>
      <c r="K22" s="21"/>
      <c r="L22" s="21"/>
      <c r="M22" s="21"/>
      <c r="N22" s="21"/>
      <c r="O22" s="26"/>
      <c r="P22" s="27"/>
      <c r="Q22" s="25"/>
      <c r="R22" s="23"/>
    </row>
    <row r="23" spans="1:18" ht="58.5" customHeight="1" x14ac:dyDescent="0.25">
      <c r="A23" s="23"/>
      <c r="B23" s="25"/>
      <c r="C23" s="26"/>
      <c r="D23" s="19"/>
      <c r="E23" s="21"/>
      <c r="F23" s="21"/>
      <c r="G23" s="21"/>
      <c r="H23" s="21"/>
      <c r="I23" s="21"/>
      <c r="J23" s="21"/>
      <c r="K23" s="21"/>
      <c r="L23" s="21"/>
      <c r="M23" s="21"/>
      <c r="N23" s="21"/>
      <c r="O23" s="26"/>
      <c r="P23" s="26"/>
      <c r="Q23" s="25"/>
      <c r="R23" s="23"/>
    </row>
    <row r="24" spans="1:18" x14ac:dyDescent="0.25">
      <c r="A24" s="23"/>
      <c r="B24" s="25"/>
      <c r="C24" s="26"/>
      <c r="D24" s="19"/>
      <c r="E24" s="21"/>
      <c r="F24" s="21"/>
      <c r="G24" s="21"/>
      <c r="H24" s="21"/>
      <c r="I24" s="21"/>
      <c r="J24" s="21"/>
      <c r="K24" s="21"/>
      <c r="L24" s="21"/>
      <c r="M24" s="21"/>
      <c r="N24" s="21"/>
      <c r="O24" s="26"/>
      <c r="P24" s="26"/>
      <c r="Q24" s="25"/>
      <c r="R24" s="23"/>
    </row>
    <row r="25" spans="1:18" x14ac:dyDescent="0.25">
      <c r="A25" s="23"/>
      <c r="B25" s="25"/>
      <c r="C25" s="26"/>
      <c r="D25" s="19"/>
      <c r="E25" s="21"/>
      <c r="F25" s="21"/>
      <c r="G25" s="21"/>
      <c r="H25" s="21"/>
      <c r="I25" s="21"/>
      <c r="J25" s="21"/>
      <c r="K25" s="21"/>
      <c r="L25" s="21"/>
      <c r="M25" s="21"/>
      <c r="N25" s="21"/>
      <c r="O25" s="26"/>
      <c r="P25" s="26"/>
      <c r="Q25" s="25"/>
      <c r="R25" s="23"/>
    </row>
    <row r="26" spans="1:18" x14ac:dyDescent="0.25">
      <c r="A26" s="23"/>
      <c r="B26" s="25"/>
      <c r="C26" s="26"/>
      <c r="D26" s="26"/>
      <c r="E26" s="26"/>
      <c r="F26" s="26"/>
      <c r="G26" s="26"/>
      <c r="H26" s="26"/>
      <c r="I26" s="26"/>
      <c r="J26" s="26"/>
      <c r="K26" s="26"/>
      <c r="L26" s="26"/>
      <c r="M26" s="26"/>
      <c r="N26" s="26"/>
      <c r="O26" s="26"/>
      <c r="P26" s="26"/>
      <c r="Q26" s="25"/>
      <c r="R26" s="23"/>
    </row>
    <row r="27" spans="1:18" x14ac:dyDescent="0.25">
      <c r="A27" s="24"/>
      <c r="B27" s="25"/>
      <c r="C27" s="25"/>
      <c r="D27" s="25"/>
      <c r="E27" s="25"/>
      <c r="F27" s="25"/>
      <c r="G27" s="25"/>
      <c r="H27" s="25"/>
      <c r="I27" s="25"/>
      <c r="J27" s="25"/>
      <c r="K27" s="25"/>
      <c r="L27" s="25"/>
      <c r="M27" s="25"/>
      <c r="N27" s="25"/>
      <c r="O27" s="25"/>
      <c r="P27" s="25"/>
      <c r="Q27" s="25"/>
      <c r="R27" s="24"/>
    </row>
    <row r="28" spans="1:18" x14ac:dyDescent="0.25">
      <c r="A28" s="24"/>
      <c r="B28" s="24"/>
      <c r="C28" s="24"/>
      <c r="D28" s="24"/>
      <c r="E28" s="24"/>
      <c r="F28" s="24"/>
      <c r="G28" s="24"/>
      <c r="H28" s="24"/>
      <c r="I28" s="24"/>
      <c r="J28" s="24"/>
      <c r="K28" s="24"/>
      <c r="L28" s="24"/>
      <c r="M28" s="24"/>
      <c r="N28" s="24"/>
      <c r="O28" s="24"/>
      <c r="P28" s="24"/>
      <c r="Q28" s="24"/>
      <c r="R28" s="24"/>
    </row>
  </sheetData>
  <mergeCells count="6">
    <mergeCell ref="E7:N7"/>
    <mergeCell ref="E10:N10"/>
    <mergeCell ref="E12:N12"/>
    <mergeCell ref="E17:N17"/>
    <mergeCell ref="E19:N19"/>
    <mergeCell ref="E13:N13"/>
  </mergeCells>
  <pageMargins left="0.7" right="0.7" top="0.75" bottom="0.75" header="0.3" footer="0.3"/>
  <pageSetup scale="5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80" zoomScaleNormal="80" workbookViewId="0">
      <pane xSplit="3" ySplit="3" topLeftCell="Q4" activePane="bottomRight" state="frozen"/>
      <selection pane="topRight" activeCell="D1" sqref="D1"/>
      <selection pane="bottomLeft" activeCell="A4" sqref="A4"/>
      <selection pane="bottomRight" activeCell="H14" sqref="H14"/>
    </sheetView>
  </sheetViews>
  <sheetFormatPr defaultRowHeight="15" x14ac:dyDescent="0.25"/>
  <cols>
    <col min="1" max="1" width="9.140625" style="78"/>
    <col min="2" max="2" width="26.5703125" style="78" customWidth="1"/>
    <col min="3" max="3" width="51.42578125" style="78" customWidth="1"/>
    <col min="4" max="4" width="37.5703125" style="78" customWidth="1"/>
    <col min="5" max="5" width="9.140625" style="78"/>
    <col min="6" max="6" width="12.42578125" style="78" bestFit="1" customWidth="1"/>
    <col min="7" max="7" width="9.140625" style="78"/>
    <col min="8" max="8" width="12.42578125" style="78" bestFit="1" customWidth="1"/>
    <col min="9" max="17" width="9.140625" style="78"/>
    <col min="18" max="18" width="12.42578125" style="78" bestFit="1" customWidth="1"/>
    <col min="19" max="26" width="9.140625" style="78"/>
    <col min="27" max="27" width="13.140625" style="78" bestFit="1" customWidth="1"/>
    <col min="28" max="28" width="9.140625" style="78"/>
    <col min="29" max="29" width="12.42578125" style="78" bestFit="1" customWidth="1"/>
    <col min="30" max="16384" width="9.140625" style="78"/>
  </cols>
  <sheetData>
    <row r="1" spans="2:30" s="90" customFormat="1" x14ac:dyDescent="0.25">
      <c r="B1" s="187" t="s">
        <v>67</v>
      </c>
    </row>
    <row r="2" spans="2:30" s="90" customFormat="1" x14ac:dyDescent="0.25"/>
    <row r="3" spans="2:30" s="90" customFormat="1" x14ac:dyDescent="0.25">
      <c r="E3" s="90">
        <v>2007</v>
      </c>
      <c r="F3" s="90">
        <v>2008</v>
      </c>
      <c r="G3" s="90">
        <v>2009</v>
      </c>
      <c r="H3" s="90">
        <v>2010</v>
      </c>
      <c r="I3" s="90">
        <v>2011</v>
      </c>
      <c r="J3" s="90">
        <v>2012</v>
      </c>
      <c r="K3" s="90">
        <v>2013</v>
      </c>
      <c r="L3" s="90">
        <v>2014</v>
      </c>
      <c r="M3" s="90">
        <v>2015</v>
      </c>
      <c r="N3" s="90">
        <v>2016</v>
      </c>
      <c r="O3" s="90">
        <v>2017</v>
      </c>
      <c r="P3" s="90">
        <v>2018</v>
      </c>
      <c r="Q3" s="90">
        <v>2019</v>
      </c>
      <c r="R3" s="188">
        <v>2020</v>
      </c>
      <c r="S3" s="90">
        <v>2021</v>
      </c>
      <c r="T3" s="90">
        <v>2022</v>
      </c>
      <c r="U3" s="90">
        <v>2023</v>
      </c>
      <c r="V3" s="90">
        <v>2024</v>
      </c>
      <c r="W3" s="90">
        <v>2025</v>
      </c>
      <c r="X3" s="90">
        <v>2026</v>
      </c>
      <c r="Y3" s="90">
        <v>2027</v>
      </c>
      <c r="Z3" s="90">
        <v>2028</v>
      </c>
      <c r="AA3" s="90">
        <v>2029</v>
      </c>
      <c r="AB3" s="188">
        <v>2030</v>
      </c>
    </row>
    <row r="4" spans="2:30" s="90" customFormat="1" ht="38.25" customHeight="1" x14ac:dyDescent="0.25">
      <c r="C4" s="189" t="s">
        <v>279</v>
      </c>
      <c r="D4" s="90" t="s">
        <v>280</v>
      </c>
      <c r="E4" s="90">
        <v>500</v>
      </c>
      <c r="F4" s="90">
        <f>E4+$AC4</f>
        <v>518.33333333333337</v>
      </c>
      <c r="G4" s="90">
        <f t="shared" ref="G4:Z4" si="0">F4+$AC$4</f>
        <v>536.66666666666674</v>
      </c>
      <c r="H4" s="90">
        <f t="shared" si="0"/>
        <v>555.00000000000011</v>
      </c>
      <c r="I4" s="90">
        <f t="shared" si="0"/>
        <v>573.33333333333348</v>
      </c>
      <c r="J4" s="90">
        <f t="shared" si="0"/>
        <v>591.66666666666686</v>
      </c>
      <c r="K4" s="90">
        <f t="shared" si="0"/>
        <v>610.00000000000023</v>
      </c>
      <c r="L4" s="90">
        <f t="shared" si="0"/>
        <v>628.3333333333336</v>
      </c>
      <c r="M4" s="90">
        <f t="shared" si="0"/>
        <v>646.66666666666697</v>
      </c>
      <c r="N4" s="90">
        <f t="shared" si="0"/>
        <v>665.00000000000034</v>
      </c>
      <c r="O4" s="90">
        <f t="shared" si="0"/>
        <v>683.33333333333371</v>
      </c>
      <c r="P4" s="90">
        <f t="shared" si="0"/>
        <v>701.66666666666708</v>
      </c>
      <c r="Q4" s="90">
        <f t="shared" si="0"/>
        <v>720.00000000000045</v>
      </c>
      <c r="R4" s="190">
        <f t="shared" si="0"/>
        <v>738.33333333333383</v>
      </c>
      <c r="S4" s="90">
        <f t="shared" si="0"/>
        <v>756.6666666666672</v>
      </c>
      <c r="T4" s="90">
        <f t="shared" si="0"/>
        <v>775.00000000000057</v>
      </c>
      <c r="U4" s="90">
        <f t="shared" si="0"/>
        <v>793.33333333333394</v>
      </c>
      <c r="V4" s="90">
        <f t="shared" si="0"/>
        <v>811.66666666666731</v>
      </c>
      <c r="W4" s="90">
        <f t="shared" si="0"/>
        <v>830.00000000000068</v>
      </c>
      <c r="X4" s="90">
        <f t="shared" si="0"/>
        <v>848.33333333333405</v>
      </c>
      <c r="Y4" s="90">
        <f t="shared" si="0"/>
        <v>866.66666666666742</v>
      </c>
      <c r="Z4" s="90">
        <f t="shared" si="0"/>
        <v>885.0000000000008</v>
      </c>
      <c r="AA4" s="90">
        <f t="shared" ref="AA4:AA5" si="1">Z4+$AC4</f>
        <v>903.33333333333417</v>
      </c>
      <c r="AB4" s="188">
        <v>940</v>
      </c>
      <c r="AC4" s="90">
        <f>(AB4-E4)/((2030-2007)+1)</f>
        <v>18.333333333333332</v>
      </c>
      <c r="AD4" s="90" t="s">
        <v>281</v>
      </c>
    </row>
    <row r="5" spans="2:30" s="90" customFormat="1" ht="38.25" customHeight="1" x14ac:dyDescent="0.25">
      <c r="C5" s="189" t="s">
        <v>282</v>
      </c>
      <c r="D5" s="90" t="s">
        <v>283</v>
      </c>
      <c r="E5" s="90">
        <v>3400</v>
      </c>
      <c r="F5" s="90">
        <f>E5+$AC5</f>
        <v>3270.8333333333335</v>
      </c>
      <c r="G5" s="90">
        <f t="shared" ref="G5:Z5" si="2">F5+$AC$5</f>
        <v>3141.666666666667</v>
      </c>
      <c r="H5" s="90">
        <f t="shared" si="2"/>
        <v>3012.5000000000005</v>
      </c>
      <c r="I5" s="90">
        <f t="shared" si="2"/>
        <v>2883.3333333333339</v>
      </c>
      <c r="J5" s="90">
        <f t="shared" si="2"/>
        <v>2754.1666666666674</v>
      </c>
      <c r="K5" s="90">
        <f t="shared" si="2"/>
        <v>2625.0000000000009</v>
      </c>
      <c r="L5" s="90">
        <f t="shared" si="2"/>
        <v>2495.8333333333344</v>
      </c>
      <c r="M5" s="90">
        <f t="shared" si="2"/>
        <v>2366.6666666666679</v>
      </c>
      <c r="N5" s="90">
        <f t="shared" si="2"/>
        <v>2237.5000000000014</v>
      </c>
      <c r="O5" s="90">
        <f t="shared" si="2"/>
        <v>2108.3333333333348</v>
      </c>
      <c r="P5" s="90">
        <f t="shared" si="2"/>
        <v>1979.1666666666681</v>
      </c>
      <c r="Q5" s="90">
        <f t="shared" si="2"/>
        <v>1850.0000000000014</v>
      </c>
      <c r="R5" s="188">
        <f t="shared" si="2"/>
        <v>1720.8333333333346</v>
      </c>
      <c r="S5" s="90">
        <f t="shared" si="2"/>
        <v>1591.6666666666679</v>
      </c>
      <c r="T5" s="90">
        <f t="shared" si="2"/>
        <v>1462.5000000000011</v>
      </c>
      <c r="U5" s="90">
        <f t="shared" si="2"/>
        <v>1333.3333333333344</v>
      </c>
      <c r="V5" s="90">
        <f t="shared" si="2"/>
        <v>1204.1666666666677</v>
      </c>
      <c r="W5" s="90">
        <f t="shared" si="2"/>
        <v>1075.0000000000009</v>
      </c>
      <c r="X5" s="90">
        <f t="shared" si="2"/>
        <v>945.83333333333428</v>
      </c>
      <c r="Y5" s="90">
        <f t="shared" si="2"/>
        <v>816.66666666666765</v>
      </c>
      <c r="Z5" s="90">
        <f t="shared" si="2"/>
        <v>687.50000000000102</v>
      </c>
      <c r="AA5" s="90">
        <f t="shared" si="1"/>
        <v>558.33333333333439</v>
      </c>
      <c r="AB5" s="188">
        <v>300</v>
      </c>
      <c r="AC5" s="90">
        <f>(AB5-E5)/((2030-2007)+1)</f>
        <v>-129.16666666666666</v>
      </c>
    </row>
    <row r="6" spans="2:30" s="90" customFormat="1" ht="38.25" customHeight="1" x14ac:dyDescent="0.25">
      <c r="C6" s="189" t="s">
        <v>284</v>
      </c>
      <c r="D6" s="90" t="s">
        <v>285</v>
      </c>
      <c r="E6" s="90">
        <f>(1500+2000)/2</f>
        <v>1750</v>
      </c>
      <c r="F6" s="90">
        <f>E6+$AC6</f>
        <v>1703.125</v>
      </c>
      <c r="G6" s="90">
        <f t="shared" ref="G6:Z6" si="3">F6+$AC6</f>
        <v>1656.25</v>
      </c>
      <c r="H6" s="90">
        <f t="shared" si="3"/>
        <v>1609.375</v>
      </c>
      <c r="I6" s="90">
        <f t="shared" si="3"/>
        <v>1562.5</v>
      </c>
      <c r="J6" s="90">
        <f t="shared" si="3"/>
        <v>1515.625</v>
      </c>
      <c r="K6" s="90">
        <f t="shared" si="3"/>
        <v>1468.75</v>
      </c>
      <c r="L6" s="90">
        <f t="shared" si="3"/>
        <v>1421.875</v>
      </c>
      <c r="M6" s="90">
        <f t="shared" si="3"/>
        <v>1375</v>
      </c>
      <c r="N6" s="90">
        <f t="shared" si="3"/>
        <v>1328.125</v>
      </c>
      <c r="O6" s="90">
        <f t="shared" si="3"/>
        <v>1281.25</v>
      </c>
      <c r="P6" s="90">
        <f t="shared" si="3"/>
        <v>1234.375</v>
      </c>
      <c r="Q6" s="90">
        <f t="shared" si="3"/>
        <v>1187.5</v>
      </c>
      <c r="R6" s="188">
        <f t="shared" si="3"/>
        <v>1140.625</v>
      </c>
      <c r="S6" s="90">
        <f t="shared" si="3"/>
        <v>1093.75</v>
      </c>
      <c r="T6" s="90">
        <f t="shared" si="3"/>
        <v>1046.875</v>
      </c>
      <c r="U6" s="90">
        <f t="shared" si="3"/>
        <v>1000</v>
      </c>
      <c r="V6" s="90">
        <f t="shared" si="3"/>
        <v>953.125</v>
      </c>
      <c r="W6" s="90">
        <f t="shared" si="3"/>
        <v>906.25</v>
      </c>
      <c r="X6" s="90">
        <f t="shared" si="3"/>
        <v>859.375</v>
      </c>
      <c r="Y6" s="90">
        <f t="shared" si="3"/>
        <v>812.5</v>
      </c>
      <c r="Z6" s="90">
        <f t="shared" si="3"/>
        <v>765.625</v>
      </c>
      <c r="AA6" s="90">
        <f>Z6+$AC6</f>
        <v>718.75</v>
      </c>
      <c r="AB6" s="188">
        <f>(600+650)/2</f>
        <v>625</v>
      </c>
      <c r="AC6" s="90">
        <f>(AB6-E6)/((2030-2007)+1)</f>
        <v>-46.875</v>
      </c>
    </row>
    <row r="7" spans="2:30" s="90" customFormat="1" ht="38.25" customHeight="1" x14ac:dyDescent="0.25">
      <c r="C7" s="189" t="s">
        <v>286</v>
      </c>
      <c r="D7" s="90" t="s">
        <v>287</v>
      </c>
      <c r="H7" s="90">
        <f>H4-H10</f>
        <v>546.09523809523819</v>
      </c>
      <c r="I7" s="90">
        <f t="shared" ref="I7:AB9" si="4">I4-I10</f>
        <v>564.42857142857156</v>
      </c>
      <c r="J7" s="90">
        <f t="shared" si="4"/>
        <v>582.76190476190493</v>
      </c>
      <c r="K7" s="90">
        <f t="shared" si="4"/>
        <v>601.0952380952383</v>
      </c>
      <c r="L7" s="90">
        <f t="shared" si="4"/>
        <v>619.42857142857167</v>
      </c>
      <c r="M7" s="90">
        <f t="shared" si="4"/>
        <v>637.76190476190504</v>
      </c>
      <c r="N7" s="90">
        <f t="shared" si="4"/>
        <v>656.09523809523841</v>
      </c>
      <c r="O7" s="90">
        <f t="shared" si="4"/>
        <v>674.42857142857179</v>
      </c>
      <c r="P7" s="90">
        <f t="shared" si="4"/>
        <v>692.76190476190516</v>
      </c>
      <c r="Q7" s="90">
        <f t="shared" si="4"/>
        <v>711.09523809523853</v>
      </c>
      <c r="R7" s="188">
        <f t="shared" si="4"/>
        <v>729.4285714285719</v>
      </c>
      <c r="S7" s="90">
        <f t="shared" si="4"/>
        <v>747.76190476190527</v>
      </c>
      <c r="T7" s="90">
        <f t="shared" si="4"/>
        <v>766.09523809523864</v>
      </c>
      <c r="U7" s="90">
        <f t="shared" si="4"/>
        <v>784.42857142857201</v>
      </c>
      <c r="V7" s="90">
        <f t="shared" si="4"/>
        <v>802.76190476190538</v>
      </c>
      <c r="W7" s="90">
        <f t="shared" si="4"/>
        <v>821.09523809523876</v>
      </c>
      <c r="X7" s="90">
        <f t="shared" si="4"/>
        <v>839.42857142857213</v>
      </c>
      <c r="Y7" s="90">
        <f t="shared" si="4"/>
        <v>857.7619047619055</v>
      </c>
      <c r="Z7" s="90">
        <f t="shared" si="4"/>
        <v>876.09523809523887</v>
      </c>
      <c r="AA7" s="90">
        <f t="shared" si="4"/>
        <v>894.42857142857224</v>
      </c>
      <c r="AB7" s="188">
        <f t="shared" si="4"/>
        <v>931.09523809523807</v>
      </c>
    </row>
    <row r="8" spans="2:30" s="90" customFormat="1" ht="38.25" customHeight="1" x14ac:dyDescent="0.25">
      <c r="C8" s="189" t="s">
        <v>288</v>
      </c>
      <c r="H8" s="90">
        <f>H5-H11</f>
        <v>3003.761904761905</v>
      </c>
      <c r="I8" s="90">
        <f t="shared" si="4"/>
        <v>2874.5952380952385</v>
      </c>
      <c r="J8" s="90">
        <f t="shared" si="4"/>
        <v>2745.428571428572</v>
      </c>
      <c r="K8" s="90">
        <f t="shared" si="4"/>
        <v>2616.2619047619055</v>
      </c>
      <c r="L8" s="90">
        <f t="shared" si="4"/>
        <v>2487.095238095239</v>
      </c>
      <c r="M8" s="90">
        <f t="shared" si="4"/>
        <v>2357.9285714285725</v>
      </c>
      <c r="N8" s="90">
        <f t="shared" si="4"/>
        <v>2228.761904761906</v>
      </c>
      <c r="O8" s="90">
        <f t="shared" si="4"/>
        <v>2099.5952380952394</v>
      </c>
      <c r="P8" s="90">
        <f t="shared" si="4"/>
        <v>1970.4285714285729</v>
      </c>
      <c r="Q8" s="90">
        <f t="shared" si="4"/>
        <v>1841.2619047619062</v>
      </c>
      <c r="R8" s="188">
        <f t="shared" si="4"/>
        <v>1712.0952380952394</v>
      </c>
      <c r="S8" s="90">
        <f t="shared" si="4"/>
        <v>1582.9285714285727</v>
      </c>
      <c r="T8" s="90">
        <f t="shared" si="4"/>
        <v>1453.761904761906</v>
      </c>
      <c r="U8" s="90">
        <f t="shared" si="4"/>
        <v>1324.5952380952392</v>
      </c>
      <c r="V8" s="90">
        <f t="shared" si="4"/>
        <v>1195.4285714285725</v>
      </c>
      <c r="W8" s="90">
        <f t="shared" si="4"/>
        <v>1066.2619047619057</v>
      </c>
      <c r="X8" s="90">
        <f t="shared" si="4"/>
        <v>937.0952380952391</v>
      </c>
      <c r="Y8" s="90">
        <f t="shared" si="4"/>
        <v>807.92857142857247</v>
      </c>
      <c r="Z8" s="90">
        <f t="shared" si="4"/>
        <v>678.76190476190584</v>
      </c>
      <c r="AA8" s="90">
        <f t="shared" si="4"/>
        <v>549.59523809523921</v>
      </c>
      <c r="AB8" s="188">
        <f t="shared" si="4"/>
        <v>291.26190476190476</v>
      </c>
    </row>
    <row r="9" spans="2:30" s="90" customFormat="1" ht="38.25" customHeight="1" x14ac:dyDescent="0.25">
      <c r="C9" s="189" t="s">
        <v>289</v>
      </c>
      <c r="H9" s="90">
        <f>H6-H12</f>
        <v>1606.8988095238096</v>
      </c>
      <c r="I9" s="90">
        <f t="shared" si="4"/>
        <v>1560.0238095238096</v>
      </c>
      <c r="J9" s="90">
        <f t="shared" si="4"/>
        <v>1513.1488095238096</v>
      </c>
      <c r="K9" s="90">
        <f t="shared" si="4"/>
        <v>1466.2738095238096</v>
      </c>
      <c r="L9" s="90">
        <f t="shared" si="4"/>
        <v>1419.3988095238096</v>
      </c>
      <c r="M9" s="90">
        <f t="shared" si="4"/>
        <v>1372.5238095238096</v>
      </c>
      <c r="N9" s="90">
        <f t="shared" si="4"/>
        <v>1325.6488095238096</v>
      </c>
      <c r="O9" s="90">
        <f t="shared" si="4"/>
        <v>1278.7738095238096</v>
      </c>
      <c r="P9" s="90">
        <f t="shared" si="4"/>
        <v>1231.8988095238096</v>
      </c>
      <c r="Q9" s="90">
        <f t="shared" si="4"/>
        <v>1185.0238095238096</v>
      </c>
      <c r="R9" s="188">
        <f t="shared" si="4"/>
        <v>1138.1488095238096</v>
      </c>
      <c r="S9" s="90">
        <f t="shared" si="4"/>
        <v>1091.2738095238096</v>
      </c>
      <c r="T9" s="90">
        <f t="shared" si="4"/>
        <v>1044.3988095238096</v>
      </c>
      <c r="U9" s="90">
        <f t="shared" si="4"/>
        <v>997.52380952380952</v>
      </c>
      <c r="V9" s="90">
        <f t="shared" si="4"/>
        <v>950.64880952380952</v>
      </c>
      <c r="W9" s="90">
        <f t="shared" si="4"/>
        <v>903.77380952380952</v>
      </c>
      <c r="X9" s="90">
        <f t="shared" si="4"/>
        <v>856.89880952380952</v>
      </c>
      <c r="Y9" s="90">
        <f t="shared" si="4"/>
        <v>810.02380952380952</v>
      </c>
      <c r="Z9" s="90">
        <f t="shared" si="4"/>
        <v>763.14880952380952</v>
      </c>
      <c r="AA9" s="90">
        <f t="shared" si="4"/>
        <v>716.27380952380952</v>
      </c>
      <c r="AB9" s="188">
        <f t="shared" si="4"/>
        <v>622.52380952380952</v>
      </c>
    </row>
    <row r="10" spans="2:30" s="90" customFormat="1" ht="38.25" customHeight="1" x14ac:dyDescent="0.25">
      <c r="C10" s="189" t="s">
        <v>290</v>
      </c>
      <c r="D10" s="90" t="s">
        <v>291</v>
      </c>
      <c r="H10" s="90">
        <f>((182+192)/2)/((2030-2010)+1)</f>
        <v>8.9047619047619051</v>
      </c>
      <c r="I10" s="90">
        <f t="shared" ref="I10:AB10" si="5">((182+192)/2)/((2030-2010)+1)</f>
        <v>8.9047619047619051</v>
      </c>
      <c r="J10" s="90">
        <f t="shared" si="5"/>
        <v>8.9047619047619051</v>
      </c>
      <c r="K10" s="90">
        <f t="shared" si="5"/>
        <v>8.9047619047619051</v>
      </c>
      <c r="L10" s="90">
        <f t="shared" si="5"/>
        <v>8.9047619047619051</v>
      </c>
      <c r="M10" s="90">
        <f t="shared" si="5"/>
        <v>8.9047619047619051</v>
      </c>
      <c r="N10" s="90">
        <f t="shared" si="5"/>
        <v>8.9047619047619051</v>
      </c>
      <c r="O10" s="90">
        <f t="shared" si="5"/>
        <v>8.9047619047619051</v>
      </c>
      <c r="P10" s="90">
        <f t="shared" si="5"/>
        <v>8.9047619047619051</v>
      </c>
      <c r="Q10" s="90">
        <f t="shared" si="5"/>
        <v>8.9047619047619051</v>
      </c>
      <c r="R10" s="188">
        <f t="shared" si="5"/>
        <v>8.9047619047619051</v>
      </c>
      <c r="S10" s="90">
        <f t="shared" si="5"/>
        <v>8.9047619047619051</v>
      </c>
      <c r="T10" s="90">
        <f t="shared" si="5"/>
        <v>8.9047619047619051</v>
      </c>
      <c r="U10" s="90">
        <f t="shared" si="5"/>
        <v>8.9047619047619051</v>
      </c>
      <c r="V10" s="90">
        <f t="shared" si="5"/>
        <v>8.9047619047619051</v>
      </c>
      <c r="W10" s="90">
        <f t="shared" si="5"/>
        <v>8.9047619047619051</v>
      </c>
      <c r="X10" s="90">
        <f t="shared" si="5"/>
        <v>8.9047619047619051</v>
      </c>
      <c r="Y10" s="90">
        <f t="shared" si="5"/>
        <v>8.9047619047619051</v>
      </c>
      <c r="Z10" s="90">
        <f t="shared" si="5"/>
        <v>8.9047619047619051</v>
      </c>
      <c r="AA10" s="90">
        <f t="shared" si="5"/>
        <v>8.9047619047619051</v>
      </c>
      <c r="AB10" s="188">
        <f t="shared" si="5"/>
        <v>8.9047619047619051</v>
      </c>
      <c r="AC10" s="90">
        <f>SUM(H10:AB10)</f>
        <v>186.99999999999991</v>
      </c>
      <c r="AD10" s="90">
        <f>(182+192)/2</f>
        <v>187</v>
      </c>
    </row>
    <row r="11" spans="2:30" s="90" customFormat="1" ht="38.25" customHeight="1" x14ac:dyDescent="0.25">
      <c r="C11" s="189" t="s">
        <v>292</v>
      </c>
      <c r="D11" s="90" t="s">
        <v>293</v>
      </c>
      <c r="H11" s="90">
        <f>((180+187)/2)/((2030-2010)+1)</f>
        <v>8.7380952380952372</v>
      </c>
      <c r="I11" s="90">
        <f t="shared" ref="I11:AB11" si="6">((180+187)/2)/((2030-2010)+1)</f>
        <v>8.7380952380952372</v>
      </c>
      <c r="J11" s="90">
        <f t="shared" si="6"/>
        <v>8.7380952380952372</v>
      </c>
      <c r="K11" s="90">
        <f t="shared" si="6"/>
        <v>8.7380952380952372</v>
      </c>
      <c r="L11" s="90">
        <f t="shared" si="6"/>
        <v>8.7380952380952372</v>
      </c>
      <c r="M11" s="90">
        <f t="shared" si="6"/>
        <v>8.7380952380952372</v>
      </c>
      <c r="N11" s="90">
        <f t="shared" si="6"/>
        <v>8.7380952380952372</v>
      </c>
      <c r="O11" s="90">
        <f t="shared" si="6"/>
        <v>8.7380952380952372</v>
      </c>
      <c r="P11" s="90">
        <f t="shared" si="6"/>
        <v>8.7380952380952372</v>
      </c>
      <c r="Q11" s="90">
        <f t="shared" si="6"/>
        <v>8.7380952380952372</v>
      </c>
      <c r="R11" s="188">
        <f t="shared" si="6"/>
        <v>8.7380952380952372</v>
      </c>
      <c r="S11" s="90">
        <f t="shared" si="6"/>
        <v>8.7380952380952372</v>
      </c>
      <c r="T11" s="90">
        <f t="shared" si="6"/>
        <v>8.7380952380952372</v>
      </c>
      <c r="U11" s="90">
        <f t="shared" si="6"/>
        <v>8.7380952380952372</v>
      </c>
      <c r="V11" s="90">
        <f t="shared" si="6"/>
        <v>8.7380952380952372</v>
      </c>
      <c r="W11" s="90">
        <f t="shared" si="6"/>
        <v>8.7380952380952372</v>
      </c>
      <c r="X11" s="90">
        <f t="shared" si="6"/>
        <v>8.7380952380952372</v>
      </c>
      <c r="Y11" s="90">
        <f t="shared" si="6"/>
        <v>8.7380952380952372</v>
      </c>
      <c r="Z11" s="90">
        <f t="shared" si="6"/>
        <v>8.7380952380952372</v>
      </c>
      <c r="AA11" s="90">
        <f t="shared" si="6"/>
        <v>8.7380952380952372</v>
      </c>
      <c r="AB11" s="188">
        <f t="shared" si="6"/>
        <v>8.7380952380952372</v>
      </c>
      <c r="AC11" s="90">
        <f>SUM(H11:AB11)</f>
        <v>183.50000000000003</v>
      </c>
      <c r="AD11" s="90">
        <f>(180+187)/2</f>
        <v>183.5</v>
      </c>
    </row>
    <row r="12" spans="2:30" s="90" customFormat="1" ht="38.25" customHeight="1" x14ac:dyDescent="0.25">
      <c r="C12" s="189" t="s">
        <v>294</v>
      </c>
      <c r="D12" s="90" t="s">
        <v>295</v>
      </c>
      <c r="H12" s="90">
        <f>((47+57)/2)/((2030-2010)+1)</f>
        <v>2.4761904761904763</v>
      </c>
      <c r="I12" s="90">
        <f t="shared" ref="I12:AB12" si="7">((47+57)/2)/((2030-2010)+1)</f>
        <v>2.4761904761904763</v>
      </c>
      <c r="J12" s="90">
        <f t="shared" si="7"/>
        <v>2.4761904761904763</v>
      </c>
      <c r="K12" s="90">
        <f t="shared" si="7"/>
        <v>2.4761904761904763</v>
      </c>
      <c r="L12" s="90">
        <f t="shared" si="7"/>
        <v>2.4761904761904763</v>
      </c>
      <c r="M12" s="90">
        <f t="shared" si="7"/>
        <v>2.4761904761904763</v>
      </c>
      <c r="N12" s="90">
        <f t="shared" si="7"/>
        <v>2.4761904761904763</v>
      </c>
      <c r="O12" s="90">
        <f t="shared" si="7"/>
        <v>2.4761904761904763</v>
      </c>
      <c r="P12" s="90">
        <f t="shared" si="7"/>
        <v>2.4761904761904763</v>
      </c>
      <c r="Q12" s="90">
        <f t="shared" si="7"/>
        <v>2.4761904761904763</v>
      </c>
      <c r="R12" s="188">
        <f t="shared" si="7"/>
        <v>2.4761904761904763</v>
      </c>
      <c r="S12" s="90">
        <f t="shared" si="7"/>
        <v>2.4761904761904763</v>
      </c>
      <c r="T12" s="90">
        <f t="shared" si="7"/>
        <v>2.4761904761904763</v>
      </c>
      <c r="U12" s="90">
        <f t="shared" si="7"/>
        <v>2.4761904761904763</v>
      </c>
      <c r="V12" s="90">
        <f t="shared" si="7"/>
        <v>2.4761904761904763</v>
      </c>
      <c r="W12" s="90">
        <f t="shared" si="7"/>
        <v>2.4761904761904763</v>
      </c>
      <c r="X12" s="90">
        <f t="shared" si="7"/>
        <v>2.4761904761904763</v>
      </c>
      <c r="Y12" s="90">
        <f t="shared" si="7"/>
        <v>2.4761904761904763</v>
      </c>
      <c r="Z12" s="90">
        <f t="shared" si="7"/>
        <v>2.4761904761904763</v>
      </c>
      <c r="AA12" s="90">
        <f t="shared" si="7"/>
        <v>2.4761904761904763</v>
      </c>
      <c r="AB12" s="90">
        <f t="shared" si="7"/>
        <v>2.4761904761904763</v>
      </c>
      <c r="AC12" s="90">
        <f>SUM(H12:AB12)</f>
        <v>51.999999999999979</v>
      </c>
      <c r="AD12" s="90">
        <f>(47+57)/2</f>
        <v>52</v>
      </c>
    </row>
    <row r="13" spans="2:30" s="191" customFormat="1" ht="57.75" customHeight="1" x14ac:dyDescent="0.25"/>
    <row r="14" spans="2:30" s="191" customFormat="1" ht="37.5" customHeight="1" x14ac:dyDescent="0.25"/>
    <row r="15" spans="2:30" s="191" customFormat="1" ht="54" customHeight="1" x14ac:dyDescent="0.25"/>
    <row r="17" spans="1:32" ht="30" x14ac:dyDescent="0.25">
      <c r="AF17" s="78" t="s">
        <v>296</v>
      </c>
    </row>
    <row r="24" spans="1:32" x14ac:dyDescent="0.25">
      <c r="A24" s="78" t="s">
        <v>297</v>
      </c>
    </row>
    <row r="25" spans="1:32" x14ac:dyDescent="0.25">
      <c r="E25" s="78">
        <v>2007</v>
      </c>
      <c r="F25" s="78">
        <v>2008</v>
      </c>
      <c r="G25" s="78">
        <v>2009</v>
      </c>
      <c r="H25" s="78">
        <v>2010</v>
      </c>
      <c r="I25" s="78">
        <v>2011</v>
      </c>
      <c r="J25" s="78">
        <v>2012</v>
      </c>
      <c r="K25" s="78">
        <v>2013</v>
      </c>
      <c r="L25" s="78">
        <v>2014</v>
      </c>
      <c r="M25" s="78">
        <v>2015</v>
      </c>
      <c r="N25" s="78">
        <v>2016</v>
      </c>
      <c r="O25" s="78">
        <v>2017</v>
      </c>
      <c r="P25" s="78">
        <v>2018</v>
      </c>
      <c r="Q25" s="78">
        <v>2019</v>
      </c>
      <c r="R25" s="78">
        <v>2020</v>
      </c>
      <c r="S25" s="78">
        <v>2021</v>
      </c>
      <c r="T25" s="78">
        <v>2022</v>
      </c>
      <c r="U25" s="78">
        <v>2023</v>
      </c>
      <c r="V25" s="78">
        <v>2024</v>
      </c>
      <c r="W25" s="78">
        <v>2025</v>
      </c>
      <c r="X25" s="78">
        <v>2026</v>
      </c>
      <c r="Y25" s="78">
        <v>2027</v>
      </c>
      <c r="Z25" s="78">
        <v>2028</v>
      </c>
      <c r="AA25" s="78">
        <v>2029</v>
      </c>
      <c r="AB25" s="78">
        <v>2030</v>
      </c>
    </row>
    <row r="26" spans="1:32" ht="60" x14ac:dyDescent="0.25">
      <c r="D26" s="78" t="s">
        <v>298</v>
      </c>
      <c r="E26" s="78">
        <f>$AC$26/((2030-2007)+1)</f>
        <v>60</v>
      </c>
      <c r="F26" s="78">
        <f t="shared" ref="F26:AB26" si="8">$AC$26/((2030-2007)+1)</f>
        <v>60</v>
      </c>
      <c r="G26" s="78">
        <f t="shared" si="8"/>
        <v>60</v>
      </c>
      <c r="H26" s="78">
        <f t="shared" si="8"/>
        <v>60</v>
      </c>
      <c r="I26" s="78">
        <f t="shared" si="8"/>
        <v>60</v>
      </c>
      <c r="J26" s="78">
        <f t="shared" si="8"/>
        <v>60</v>
      </c>
      <c r="K26" s="78">
        <f t="shared" si="8"/>
        <v>60</v>
      </c>
      <c r="L26" s="78">
        <f t="shared" si="8"/>
        <v>60</v>
      </c>
      <c r="M26" s="78">
        <f t="shared" si="8"/>
        <v>60</v>
      </c>
      <c r="N26" s="78">
        <f t="shared" si="8"/>
        <v>60</v>
      </c>
      <c r="O26" s="78">
        <f t="shared" si="8"/>
        <v>60</v>
      </c>
      <c r="P26" s="78">
        <f t="shared" si="8"/>
        <v>60</v>
      </c>
      <c r="Q26" s="78">
        <f t="shared" si="8"/>
        <v>60</v>
      </c>
      <c r="R26" s="78">
        <f t="shared" si="8"/>
        <v>60</v>
      </c>
      <c r="S26" s="78">
        <f t="shared" si="8"/>
        <v>60</v>
      </c>
      <c r="T26" s="78">
        <f t="shared" si="8"/>
        <v>60</v>
      </c>
      <c r="U26" s="78">
        <f t="shared" si="8"/>
        <v>60</v>
      </c>
      <c r="V26" s="78">
        <f t="shared" si="8"/>
        <v>60</v>
      </c>
      <c r="W26" s="78">
        <f t="shared" si="8"/>
        <v>60</v>
      </c>
      <c r="X26" s="78">
        <f t="shared" si="8"/>
        <v>60</v>
      </c>
      <c r="Y26" s="78">
        <f t="shared" si="8"/>
        <v>60</v>
      </c>
      <c r="Z26" s="78">
        <f t="shared" si="8"/>
        <v>60</v>
      </c>
      <c r="AA26" s="78">
        <f t="shared" si="8"/>
        <v>60</v>
      </c>
      <c r="AB26" s="78">
        <f t="shared" si="8"/>
        <v>60</v>
      </c>
      <c r="AC26" s="78">
        <f>500+940</f>
        <v>1440</v>
      </c>
      <c r="AD26" s="78">
        <f>SUM(E26:AB26)</f>
        <v>1440</v>
      </c>
      <c r="AE26" s="78" t="s">
        <v>299</v>
      </c>
    </row>
    <row r="27" spans="1:32" x14ac:dyDescent="0.25">
      <c r="D27" s="78" t="s">
        <v>300</v>
      </c>
      <c r="E27" s="78">
        <f>$AC$27/((2030-2007)+1)</f>
        <v>1429.1666666666667</v>
      </c>
      <c r="F27" s="78">
        <f t="shared" ref="F27:AB27" si="9">$AC$27/((2030-2007)+1)</f>
        <v>1429.1666666666667</v>
      </c>
      <c r="G27" s="78">
        <f t="shared" si="9"/>
        <v>1429.1666666666667</v>
      </c>
      <c r="H27" s="78">
        <f t="shared" si="9"/>
        <v>1429.1666666666667</v>
      </c>
      <c r="I27" s="78">
        <f t="shared" si="9"/>
        <v>1429.1666666666667</v>
      </c>
      <c r="J27" s="78">
        <f t="shared" si="9"/>
        <v>1429.1666666666667</v>
      </c>
      <c r="K27" s="78">
        <f t="shared" si="9"/>
        <v>1429.1666666666667</v>
      </c>
      <c r="L27" s="78">
        <f t="shared" si="9"/>
        <v>1429.1666666666667</v>
      </c>
      <c r="M27" s="78">
        <f t="shared" si="9"/>
        <v>1429.1666666666667</v>
      </c>
      <c r="N27" s="78">
        <f t="shared" si="9"/>
        <v>1429.1666666666667</v>
      </c>
      <c r="O27" s="78">
        <f t="shared" si="9"/>
        <v>1429.1666666666667</v>
      </c>
      <c r="P27" s="78">
        <f t="shared" si="9"/>
        <v>1429.1666666666667</v>
      </c>
      <c r="Q27" s="78">
        <f t="shared" si="9"/>
        <v>1429.1666666666667</v>
      </c>
      <c r="R27" s="78">
        <f t="shared" si="9"/>
        <v>1429.1666666666667</v>
      </c>
      <c r="S27" s="78">
        <f t="shared" si="9"/>
        <v>1429.1666666666667</v>
      </c>
      <c r="T27" s="78">
        <f t="shared" si="9"/>
        <v>1429.1666666666667</v>
      </c>
      <c r="U27" s="78">
        <f t="shared" si="9"/>
        <v>1429.1666666666667</v>
      </c>
      <c r="V27" s="78">
        <f t="shared" si="9"/>
        <v>1429.1666666666667</v>
      </c>
      <c r="W27" s="78">
        <f t="shared" si="9"/>
        <v>1429.1666666666667</v>
      </c>
      <c r="X27" s="78">
        <f t="shared" si="9"/>
        <v>1429.1666666666667</v>
      </c>
      <c r="Y27" s="78">
        <f t="shared" si="9"/>
        <v>1429.1666666666667</v>
      </c>
      <c r="Z27" s="78">
        <f t="shared" si="9"/>
        <v>1429.1666666666667</v>
      </c>
      <c r="AA27" s="78">
        <f t="shared" si="9"/>
        <v>1429.1666666666667</v>
      </c>
      <c r="AB27" s="78">
        <f t="shared" si="9"/>
        <v>1429.1666666666667</v>
      </c>
      <c r="AC27" s="78">
        <f>34000+300</f>
        <v>34300</v>
      </c>
      <c r="AD27" s="78">
        <f>SUM(E27:AB27)</f>
        <v>34300.000000000007</v>
      </c>
    </row>
    <row r="28" spans="1:32" ht="30" x14ac:dyDescent="0.25">
      <c r="C28" s="78" t="s">
        <v>301</v>
      </c>
      <c r="D28" s="167" t="s">
        <v>302</v>
      </c>
    </row>
    <row r="29" spans="1:32" ht="30" x14ac:dyDescent="0.25">
      <c r="D29" s="78" t="s">
        <v>303</v>
      </c>
      <c r="R29" s="78">
        <f>(345+355)/2</f>
        <v>350</v>
      </c>
      <c r="AB29" s="78">
        <f>(390+400)/2</f>
        <v>395</v>
      </c>
    </row>
    <row r="30" spans="1:32" x14ac:dyDescent="0.25">
      <c r="D30" s="78" t="s">
        <v>304</v>
      </c>
      <c r="AB30" s="78">
        <v>-20</v>
      </c>
    </row>
    <row r="36" spans="4:11" x14ac:dyDescent="0.25">
      <c r="D36" s="78" t="s">
        <v>305</v>
      </c>
    </row>
    <row r="37" spans="4:11" ht="90" x14ac:dyDescent="0.25">
      <c r="D37" s="78" t="s">
        <v>118</v>
      </c>
      <c r="E37" s="78" t="s">
        <v>306</v>
      </c>
      <c r="K37" s="78">
        <v>400</v>
      </c>
    </row>
    <row r="38" spans="4:11" ht="105" x14ac:dyDescent="0.25">
      <c r="D38" s="78" t="s">
        <v>307</v>
      </c>
      <c r="E38" s="78" t="s">
        <v>306</v>
      </c>
      <c r="K38" s="78">
        <v>19</v>
      </c>
    </row>
    <row r="39" spans="4:11" ht="30" x14ac:dyDescent="0.25">
      <c r="D39" s="78" t="s">
        <v>308</v>
      </c>
      <c r="E39" s="78" t="s">
        <v>306</v>
      </c>
      <c r="K39" s="78">
        <v>22.5</v>
      </c>
    </row>
    <row r="40" spans="4:11" ht="90" x14ac:dyDescent="0.25">
      <c r="D40" s="78" t="s">
        <v>309</v>
      </c>
      <c r="E40" s="78" t="s">
        <v>306</v>
      </c>
      <c r="K40" s="78">
        <v>1.35</v>
      </c>
    </row>
    <row r="41" spans="4:11" ht="75" x14ac:dyDescent="0.25">
      <c r="D41" s="78" t="s">
        <v>310</v>
      </c>
      <c r="E41" s="78" t="s">
        <v>306</v>
      </c>
      <c r="K41" s="78">
        <v>63</v>
      </c>
    </row>
    <row r="42" spans="4:11" ht="60" x14ac:dyDescent="0.25">
      <c r="D42" s="78" t="s">
        <v>311</v>
      </c>
      <c r="E42" s="78" t="s">
        <v>306</v>
      </c>
      <c r="K42" s="78">
        <v>82</v>
      </c>
    </row>
    <row r="43" spans="4:11" ht="90" x14ac:dyDescent="0.25">
      <c r="D43" s="78" t="s">
        <v>312</v>
      </c>
      <c r="E43" s="78" t="s">
        <v>306</v>
      </c>
      <c r="K43" s="78">
        <v>16</v>
      </c>
    </row>
    <row r="44" spans="4:11" ht="105" x14ac:dyDescent="0.25">
      <c r="D44" s="78" t="s">
        <v>313</v>
      </c>
      <c r="E44" s="78" t="s">
        <v>306</v>
      </c>
      <c r="K44" s="78">
        <v>67.5</v>
      </c>
    </row>
    <row r="45" spans="4:11" ht="45" x14ac:dyDescent="0.25">
      <c r="D45" s="78" t="s">
        <v>314</v>
      </c>
      <c r="E45" s="78" t="s">
        <v>306</v>
      </c>
      <c r="K45" s="78">
        <v>80</v>
      </c>
    </row>
    <row r="46" spans="4:11" ht="135" x14ac:dyDescent="0.25">
      <c r="D46" s="78" t="s">
        <v>315</v>
      </c>
      <c r="E46" s="78" t="s">
        <v>306</v>
      </c>
      <c r="K46" s="78">
        <v>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H4" sqref="H4:H5"/>
    </sheetView>
  </sheetViews>
  <sheetFormatPr defaultRowHeight="15" x14ac:dyDescent="0.25"/>
  <cols>
    <col min="2" max="2" width="12.7109375" customWidth="1"/>
    <col min="3" max="3" width="30.85546875" customWidth="1"/>
  </cols>
  <sheetData>
    <row r="2" spans="2:9" x14ac:dyDescent="0.25">
      <c r="D2" t="s">
        <v>261</v>
      </c>
      <c r="E2" t="s">
        <v>481</v>
      </c>
      <c r="G2" t="s">
        <v>482</v>
      </c>
      <c r="H2" t="s">
        <v>483</v>
      </c>
      <c r="I2" t="s">
        <v>484</v>
      </c>
    </row>
    <row r="3" spans="2:9" x14ac:dyDescent="0.25">
      <c r="D3">
        <v>2020</v>
      </c>
      <c r="E3">
        <v>2020</v>
      </c>
      <c r="G3">
        <v>2030</v>
      </c>
      <c r="I3">
        <v>2030</v>
      </c>
    </row>
    <row r="4" spans="2:9" x14ac:dyDescent="0.25">
      <c r="B4" t="s">
        <v>83</v>
      </c>
      <c r="C4" t="s">
        <v>485</v>
      </c>
      <c r="D4">
        <v>529</v>
      </c>
      <c r="G4" s="149">
        <v>640</v>
      </c>
      <c r="H4" s="149">
        <f>G4+I4</f>
        <v>445</v>
      </c>
      <c r="I4">
        <f>SUM(D9:D10)</f>
        <v>-195</v>
      </c>
    </row>
    <row r="5" spans="2:9" x14ac:dyDescent="0.25">
      <c r="B5" t="s">
        <v>85</v>
      </c>
      <c r="C5" t="s">
        <v>485</v>
      </c>
      <c r="D5">
        <v>-45</v>
      </c>
      <c r="G5" s="149">
        <v>-90</v>
      </c>
      <c r="H5" s="149">
        <f>G5+I5</f>
        <v>-292</v>
      </c>
      <c r="I5">
        <f>SUM(D11:D12)</f>
        <v>-202</v>
      </c>
    </row>
    <row r="6" spans="2:9" x14ac:dyDescent="0.25">
      <c r="G6" s="149">
        <f>SUM(G4:G5)</f>
        <v>550</v>
      </c>
      <c r="H6" s="149">
        <f>G6+I6</f>
        <v>153</v>
      </c>
      <c r="I6">
        <f t="shared" ref="I6" si="0">SUM(I4:I5)</f>
        <v>-397</v>
      </c>
    </row>
    <row r="8" spans="2:9" x14ac:dyDescent="0.25">
      <c r="B8" t="s">
        <v>486</v>
      </c>
    </row>
    <row r="9" spans="2:9" x14ac:dyDescent="0.25">
      <c r="B9" t="s">
        <v>487</v>
      </c>
      <c r="C9" t="s">
        <v>488</v>
      </c>
      <c r="D9">
        <f>((120+150)/2)*-1</f>
        <v>-135</v>
      </c>
    </row>
    <row r="10" spans="2:9" x14ac:dyDescent="0.25">
      <c r="B10" t="s">
        <v>487</v>
      </c>
      <c r="C10" t="s">
        <v>489</v>
      </c>
      <c r="D10">
        <v>-60</v>
      </c>
    </row>
    <row r="11" spans="2:9" x14ac:dyDescent="0.25">
      <c r="B11" t="s">
        <v>490</v>
      </c>
      <c r="C11" t="s">
        <v>491</v>
      </c>
      <c r="D11">
        <v>-150</v>
      </c>
    </row>
    <row r="12" spans="2:9" x14ac:dyDescent="0.25">
      <c r="B12" t="s">
        <v>490</v>
      </c>
      <c r="C12" t="s">
        <v>492</v>
      </c>
      <c r="D12">
        <v>-52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L27" sqref="L27"/>
    </sheetView>
  </sheetViews>
  <sheetFormatPr defaultRowHeight="15" x14ac:dyDescent="0.25"/>
  <cols>
    <col min="1" max="1" width="47.42578125" customWidth="1"/>
    <col min="4" max="4" width="10.5703125" customWidth="1"/>
    <col min="10" max="11" width="10.28515625" customWidth="1"/>
    <col min="12" max="12" width="9.85546875" customWidth="1"/>
  </cols>
  <sheetData>
    <row r="1" spans="1:12" s="149" customFormat="1" x14ac:dyDescent="0.25"/>
    <row r="2" spans="1:12" s="149" customFormat="1" x14ac:dyDescent="0.25"/>
    <row r="3" spans="1:12" s="149" customFormat="1" ht="15.75" x14ac:dyDescent="0.25">
      <c r="A3" s="150" t="s">
        <v>111</v>
      </c>
    </row>
    <row r="4" spans="1:12" s="149" customFormat="1" x14ac:dyDescent="0.25">
      <c r="A4" s="149" t="s">
        <v>10</v>
      </c>
    </row>
    <row r="5" spans="1:12" s="149" customFormat="1" x14ac:dyDescent="0.25">
      <c r="A5" s="149" t="s">
        <v>73</v>
      </c>
      <c r="B5" s="149" t="s">
        <v>214</v>
      </c>
    </row>
    <row r="6" spans="1:12" s="149" customFormat="1" x14ac:dyDescent="0.25"/>
    <row r="7" spans="1:12" s="149" customFormat="1" x14ac:dyDescent="0.25">
      <c r="E7" s="149" t="s">
        <v>221</v>
      </c>
      <c r="F7" s="149" t="s">
        <v>222</v>
      </c>
      <c r="J7" s="149" t="s">
        <v>223</v>
      </c>
      <c r="K7" s="149" t="s">
        <v>229</v>
      </c>
      <c r="L7" s="149" t="s">
        <v>228</v>
      </c>
    </row>
    <row r="8" spans="1:12" s="153" customFormat="1" ht="45" x14ac:dyDescent="0.25">
      <c r="B8" s="153">
        <v>2005</v>
      </c>
      <c r="C8" s="154" t="s">
        <v>225</v>
      </c>
      <c r="D8" s="154" t="s">
        <v>226</v>
      </c>
      <c r="E8" s="155" t="s">
        <v>219</v>
      </c>
      <c r="F8" s="155" t="s">
        <v>220</v>
      </c>
      <c r="G8" s="155" t="s">
        <v>213</v>
      </c>
      <c r="J8" s="153" t="s">
        <v>224</v>
      </c>
      <c r="K8" s="153" t="s">
        <v>224</v>
      </c>
      <c r="L8" s="153" t="s">
        <v>227</v>
      </c>
    </row>
    <row r="9" spans="1:12" s="149" customFormat="1" x14ac:dyDescent="0.25">
      <c r="A9" s="149" t="s">
        <v>215</v>
      </c>
      <c r="B9" s="149">
        <v>852</v>
      </c>
      <c r="C9" s="151">
        <v>852</v>
      </c>
      <c r="D9" s="151">
        <v>852</v>
      </c>
      <c r="E9" s="156">
        <v>98</v>
      </c>
      <c r="F9" s="156">
        <v>-212</v>
      </c>
      <c r="G9" s="156">
        <f>D9-1100</f>
        <v>-248</v>
      </c>
      <c r="J9" s="149">
        <v>130</v>
      </c>
      <c r="K9" s="149">
        <v>850</v>
      </c>
      <c r="L9" s="149">
        <v>850</v>
      </c>
    </row>
    <row r="10" spans="1:12" s="149" customFormat="1" x14ac:dyDescent="0.25">
      <c r="A10" s="149" t="s">
        <v>216</v>
      </c>
      <c r="B10" s="149">
        <v>1030</v>
      </c>
      <c r="C10" s="151">
        <v>1160</v>
      </c>
      <c r="D10" s="151">
        <v>1230</v>
      </c>
      <c r="E10" s="156">
        <v>810</v>
      </c>
      <c r="F10" s="156">
        <v>753</v>
      </c>
      <c r="G10" s="156">
        <f>D10-700</f>
        <v>530</v>
      </c>
      <c r="K10" s="149">
        <v>1160</v>
      </c>
      <c r="L10" s="149">
        <v>1230</v>
      </c>
    </row>
    <row r="11" spans="1:12" s="149" customFormat="1" x14ac:dyDescent="0.25">
      <c r="A11" s="149" t="s">
        <v>217</v>
      </c>
      <c r="B11" s="149">
        <v>132</v>
      </c>
      <c r="C11" s="151">
        <v>150</v>
      </c>
      <c r="D11" s="151">
        <v>164</v>
      </c>
      <c r="E11" s="156">
        <v>59</v>
      </c>
      <c r="F11" s="156">
        <v>49</v>
      </c>
      <c r="G11" s="156">
        <f>D11-105</f>
        <v>59</v>
      </c>
      <c r="J11" s="149">
        <v>60</v>
      </c>
      <c r="K11" s="149">
        <v>150</v>
      </c>
      <c r="L11" s="149">
        <v>150</v>
      </c>
    </row>
    <row r="12" spans="1:12" s="149" customFormat="1" x14ac:dyDescent="0.25">
      <c r="A12" s="149" t="s">
        <v>218</v>
      </c>
      <c r="B12" s="152">
        <f>SUM(B9:B11)</f>
        <v>2014</v>
      </c>
      <c r="C12" s="152">
        <f t="shared" ref="C12:G12" si="0">SUM(C9:C11)</f>
        <v>2162</v>
      </c>
      <c r="D12" s="152">
        <f t="shared" si="0"/>
        <v>2246</v>
      </c>
      <c r="E12" s="152">
        <f t="shared" si="0"/>
        <v>967</v>
      </c>
      <c r="F12" s="152">
        <f t="shared" si="0"/>
        <v>590</v>
      </c>
      <c r="G12" s="152">
        <f t="shared" si="0"/>
        <v>341</v>
      </c>
      <c r="J12" s="149">
        <f>SUM(J9:J11)</f>
        <v>190</v>
      </c>
      <c r="K12" s="149">
        <f t="shared" ref="K12:L12" si="1">SUM(K9:K11)</f>
        <v>2160</v>
      </c>
      <c r="L12" s="149">
        <f t="shared" si="1"/>
        <v>2230</v>
      </c>
    </row>
    <row r="13" spans="1:12" s="149" customForma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32"/>
  <sheetViews>
    <sheetView zoomScale="70" zoomScaleNormal="70" workbookViewId="0">
      <selection activeCell="I35" sqref="I35"/>
    </sheetView>
  </sheetViews>
  <sheetFormatPr defaultRowHeight="15" x14ac:dyDescent="0.25"/>
  <cols>
    <col min="1" max="1" width="22.7109375" bestFit="1" customWidth="1"/>
    <col min="2" max="2" width="26.5703125" customWidth="1"/>
    <col min="3" max="3" width="20" customWidth="1"/>
    <col min="4" max="4" width="22.7109375" bestFit="1" customWidth="1"/>
    <col min="5" max="5" width="24.42578125" customWidth="1"/>
    <col min="6" max="6" width="17.85546875" customWidth="1"/>
    <col min="7" max="7" width="18.85546875" customWidth="1"/>
  </cols>
  <sheetData>
    <row r="2" spans="4:30" x14ac:dyDescent="0.25">
      <c r="F2">
        <v>2008</v>
      </c>
      <c r="G2">
        <v>2009</v>
      </c>
      <c r="H2">
        <v>2010</v>
      </c>
      <c r="I2">
        <v>2011</v>
      </c>
      <c r="J2">
        <v>2012</v>
      </c>
      <c r="K2">
        <v>2013</v>
      </c>
      <c r="L2">
        <v>2014</v>
      </c>
      <c r="M2">
        <v>2015</v>
      </c>
      <c r="N2">
        <v>2016</v>
      </c>
      <c r="O2">
        <v>2017</v>
      </c>
      <c r="P2">
        <v>2018</v>
      </c>
      <c r="Q2">
        <v>2019</v>
      </c>
      <c r="R2">
        <v>2020</v>
      </c>
      <c r="S2">
        <v>2021</v>
      </c>
      <c r="T2">
        <v>2022</v>
      </c>
      <c r="U2">
        <v>2023</v>
      </c>
      <c r="V2">
        <v>2024</v>
      </c>
      <c r="W2">
        <v>2025</v>
      </c>
      <c r="X2">
        <v>2026</v>
      </c>
      <c r="Y2">
        <v>2027</v>
      </c>
      <c r="Z2">
        <v>2028</v>
      </c>
      <c r="AA2">
        <v>2029</v>
      </c>
      <c r="AB2">
        <v>2030</v>
      </c>
    </row>
    <row r="3" spans="4:30" x14ac:dyDescent="0.25">
      <c r="D3" t="s">
        <v>511</v>
      </c>
      <c r="E3" t="s">
        <v>512</v>
      </c>
      <c r="F3" s="212">
        <v>100</v>
      </c>
      <c r="G3">
        <f t="shared" ref="G3:AB3" si="0">F3-$F$7</f>
        <v>99.409090909090907</v>
      </c>
      <c r="H3">
        <f t="shared" si="0"/>
        <v>98.818181818181813</v>
      </c>
      <c r="I3">
        <f t="shared" si="0"/>
        <v>98.22727272727272</v>
      </c>
      <c r="J3">
        <f t="shared" si="0"/>
        <v>97.636363636363626</v>
      </c>
      <c r="K3">
        <f t="shared" si="0"/>
        <v>97.045454545454533</v>
      </c>
      <c r="L3">
        <f t="shared" si="0"/>
        <v>96.454545454545439</v>
      </c>
      <c r="M3">
        <f t="shared" si="0"/>
        <v>95.863636363636346</v>
      </c>
      <c r="N3">
        <f t="shared" si="0"/>
        <v>95.272727272727252</v>
      </c>
      <c r="O3">
        <f t="shared" si="0"/>
        <v>94.681818181818159</v>
      </c>
      <c r="P3">
        <f t="shared" si="0"/>
        <v>94.090909090909065</v>
      </c>
      <c r="Q3">
        <f t="shared" si="0"/>
        <v>93.499999999999972</v>
      </c>
      <c r="R3" s="212">
        <f t="shared" si="0"/>
        <v>92.909090909090878</v>
      </c>
      <c r="S3">
        <f t="shared" si="0"/>
        <v>92.318181818181785</v>
      </c>
      <c r="T3">
        <f t="shared" si="0"/>
        <v>91.727272727272691</v>
      </c>
      <c r="U3">
        <f t="shared" si="0"/>
        <v>91.136363636363598</v>
      </c>
      <c r="V3">
        <f t="shared" si="0"/>
        <v>90.545454545454504</v>
      </c>
      <c r="W3">
        <f t="shared" si="0"/>
        <v>89.954545454545411</v>
      </c>
      <c r="X3">
        <f t="shared" si="0"/>
        <v>89.363636363636317</v>
      </c>
      <c r="Y3">
        <f t="shared" si="0"/>
        <v>88.772727272727224</v>
      </c>
      <c r="Z3">
        <f t="shared" si="0"/>
        <v>88.18181818181813</v>
      </c>
      <c r="AA3" s="213">
        <f t="shared" si="0"/>
        <v>87.590909090909037</v>
      </c>
      <c r="AB3" s="212">
        <f t="shared" si="0"/>
        <v>86.999999999999943</v>
      </c>
      <c r="AC3" s="213">
        <f>SUM(F3:AB3)</f>
        <v>2150.4999999999991</v>
      </c>
    </row>
    <row r="4" spans="4:30" x14ac:dyDescent="0.25">
      <c r="E4" s="214" t="s">
        <v>513</v>
      </c>
      <c r="F4" s="212">
        <f t="shared" ref="F4:AA4" si="1">F3-$F$30</f>
        <v>30.090909090909093</v>
      </c>
      <c r="G4" s="215">
        <f t="shared" si="1"/>
        <v>29.5</v>
      </c>
      <c r="H4" s="215">
        <f t="shared" si="1"/>
        <v>28.909090909090907</v>
      </c>
      <c r="I4" s="215">
        <f t="shared" si="1"/>
        <v>28.318181818181813</v>
      </c>
      <c r="J4" s="215">
        <f t="shared" si="1"/>
        <v>27.72727272727272</v>
      </c>
      <c r="K4" s="215">
        <f t="shared" si="1"/>
        <v>27.136363636363626</v>
      </c>
      <c r="L4" s="215">
        <f t="shared" si="1"/>
        <v>26.545454545454533</v>
      </c>
      <c r="M4" s="215">
        <f t="shared" si="1"/>
        <v>25.954545454545439</v>
      </c>
      <c r="N4" s="215">
        <f t="shared" si="1"/>
        <v>25.363636363636346</v>
      </c>
      <c r="O4" s="215">
        <f t="shared" si="1"/>
        <v>24.772727272727252</v>
      </c>
      <c r="P4" s="215">
        <f t="shared" si="1"/>
        <v>24.181818181818159</v>
      </c>
      <c r="Q4" s="215">
        <f t="shared" si="1"/>
        <v>23.590909090909065</v>
      </c>
      <c r="R4" s="212">
        <f t="shared" si="1"/>
        <v>22.999999999999972</v>
      </c>
      <c r="S4" s="215">
        <f t="shared" si="1"/>
        <v>22.409090909090878</v>
      </c>
      <c r="T4" s="215">
        <f t="shared" si="1"/>
        <v>21.818181818181785</v>
      </c>
      <c r="U4" s="215">
        <f t="shared" si="1"/>
        <v>21.227272727272691</v>
      </c>
      <c r="V4" s="215">
        <f t="shared" si="1"/>
        <v>20.636363636363598</v>
      </c>
      <c r="W4" s="215">
        <f t="shared" si="1"/>
        <v>20.045454545454504</v>
      </c>
      <c r="X4" s="215">
        <f t="shared" si="1"/>
        <v>19.454545454545411</v>
      </c>
      <c r="Y4" s="215">
        <f t="shared" si="1"/>
        <v>18.863636363636317</v>
      </c>
      <c r="Z4" s="215">
        <f t="shared" si="1"/>
        <v>18.272727272727224</v>
      </c>
      <c r="AA4" s="215">
        <f t="shared" si="1"/>
        <v>17.68181818181813</v>
      </c>
      <c r="AB4" s="212">
        <f>AB3-D30</f>
        <v>-75.000000000000057</v>
      </c>
      <c r="AC4" s="215">
        <f>SUM(F4:AB4)</f>
        <v>450.49999999999926</v>
      </c>
      <c r="AD4" s="215">
        <f>AC3-AC4</f>
        <v>1699.9999999999998</v>
      </c>
    </row>
    <row r="5" spans="4:30" x14ac:dyDescent="0.25">
      <c r="E5" s="214" t="s">
        <v>514</v>
      </c>
      <c r="F5" s="212">
        <f t="shared" ref="F5:Z5" si="2">F3-$F$31</f>
        <v>53.604545454545452</v>
      </c>
      <c r="G5" s="215">
        <f t="shared" si="2"/>
        <v>53.013636363636358</v>
      </c>
      <c r="H5" s="215">
        <f t="shared" si="2"/>
        <v>52.422727272727265</v>
      </c>
      <c r="I5" s="215">
        <f t="shared" si="2"/>
        <v>51.831818181818171</v>
      </c>
      <c r="J5" s="215">
        <f t="shared" si="2"/>
        <v>51.240909090909078</v>
      </c>
      <c r="K5" s="215">
        <f t="shared" si="2"/>
        <v>50.649999999999984</v>
      </c>
      <c r="L5" s="215">
        <f t="shared" si="2"/>
        <v>50.059090909090891</v>
      </c>
      <c r="M5" s="215">
        <f t="shared" si="2"/>
        <v>49.468181818181797</v>
      </c>
      <c r="N5" s="215">
        <f t="shared" si="2"/>
        <v>48.877272727272704</v>
      </c>
      <c r="O5" s="215">
        <f t="shared" si="2"/>
        <v>48.28636363636361</v>
      </c>
      <c r="P5" s="215">
        <f t="shared" si="2"/>
        <v>47.695454545454517</v>
      </c>
      <c r="Q5" s="215">
        <f t="shared" si="2"/>
        <v>47.104545454545423</v>
      </c>
      <c r="R5" s="212">
        <f t="shared" si="2"/>
        <v>46.51363636363633</v>
      </c>
      <c r="S5" s="215">
        <f t="shared" si="2"/>
        <v>45.922727272727236</v>
      </c>
      <c r="T5" s="215">
        <f t="shared" si="2"/>
        <v>45.331818181818143</v>
      </c>
      <c r="U5" s="215">
        <f t="shared" si="2"/>
        <v>44.740909090909049</v>
      </c>
      <c r="V5" s="215">
        <f t="shared" si="2"/>
        <v>44.149999999999956</v>
      </c>
      <c r="W5" s="215">
        <f t="shared" si="2"/>
        <v>43.559090909090862</v>
      </c>
      <c r="X5" s="215">
        <f t="shared" si="2"/>
        <v>42.968181818181769</v>
      </c>
      <c r="Y5" s="215">
        <f t="shared" si="2"/>
        <v>42.377272727272675</v>
      </c>
      <c r="Z5" s="215">
        <f t="shared" si="2"/>
        <v>41.786363636363582</v>
      </c>
      <c r="AA5" s="215">
        <f>AA3-$F$31</f>
        <v>41.195454545454488</v>
      </c>
      <c r="AB5" s="212">
        <f>AB3-D31</f>
        <v>-12.300000000000068</v>
      </c>
      <c r="AC5" s="215">
        <f>SUM(F5:AB5)</f>
        <v>1030.4999999999995</v>
      </c>
      <c r="AD5" s="215">
        <f>AC3-AC5</f>
        <v>1119.9999999999995</v>
      </c>
    </row>
    <row r="6" spans="4:30" x14ac:dyDescent="0.25">
      <c r="D6" t="s">
        <v>515</v>
      </c>
      <c r="E6" s="216" t="s">
        <v>516</v>
      </c>
      <c r="F6" s="212">
        <f t="shared" ref="F6:AA6" si="3">F3-($D$32+$D$31)</f>
        <v>-52.300000000000011</v>
      </c>
      <c r="G6" s="151">
        <f t="shared" si="3"/>
        <v>-52.890909090909105</v>
      </c>
      <c r="H6" s="151">
        <f t="shared" si="3"/>
        <v>-53.481818181818198</v>
      </c>
      <c r="I6" s="151">
        <f t="shared" si="3"/>
        <v>-54.072727272727292</v>
      </c>
      <c r="J6" s="151">
        <f t="shared" si="3"/>
        <v>-54.663636363636385</v>
      </c>
      <c r="K6" s="151">
        <f t="shared" si="3"/>
        <v>-55.254545454545479</v>
      </c>
      <c r="L6" s="151">
        <f t="shared" si="3"/>
        <v>-55.845454545454572</v>
      </c>
      <c r="M6" s="151">
        <f t="shared" si="3"/>
        <v>-56.436363636363666</v>
      </c>
      <c r="N6" s="151">
        <f t="shared" si="3"/>
        <v>-57.027272727272759</v>
      </c>
      <c r="O6" s="151">
        <f t="shared" si="3"/>
        <v>-57.618181818181853</v>
      </c>
      <c r="P6" s="151">
        <f t="shared" si="3"/>
        <v>-58.209090909090946</v>
      </c>
      <c r="Q6" s="151">
        <f t="shared" si="3"/>
        <v>-58.80000000000004</v>
      </c>
      <c r="R6" s="212">
        <f t="shared" si="3"/>
        <v>-59.390909090909133</v>
      </c>
      <c r="S6" s="151">
        <f t="shared" si="3"/>
        <v>-59.981818181818227</v>
      </c>
      <c r="T6" s="151">
        <f t="shared" si="3"/>
        <v>-60.57272727272732</v>
      </c>
      <c r="U6" s="151">
        <f t="shared" si="3"/>
        <v>-61.163636363636414</v>
      </c>
      <c r="V6" s="151">
        <f t="shared" si="3"/>
        <v>-61.754545454545507</v>
      </c>
      <c r="W6" s="151">
        <f t="shared" si="3"/>
        <v>-62.345454545454601</v>
      </c>
      <c r="X6" s="151">
        <f t="shared" si="3"/>
        <v>-62.936363636363694</v>
      </c>
      <c r="Y6" s="151">
        <f t="shared" si="3"/>
        <v>-63.527272727272788</v>
      </c>
      <c r="Z6" s="151">
        <f t="shared" si="3"/>
        <v>-64.118181818181881</v>
      </c>
      <c r="AA6" s="151">
        <f t="shared" si="3"/>
        <v>-64.709090909090975</v>
      </c>
      <c r="AB6" s="212">
        <f>AB3-($D$32+$D$31)</f>
        <v>-65.300000000000068</v>
      </c>
      <c r="AC6" s="215">
        <f>SUM(F6:AB6)</f>
        <v>-1352.400000000001</v>
      </c>
      <c r="AD6" s="151"/>
    </row>
    <row r="7" spans="4:30" x14ac:dyDescent="0.25">
      <c r="E7" s="192" t="s">
        <v>517</v>
      </c>
      <c r="F7" s="217">
        <f>(100-87)/(2030-2008)</f>
        <v>0.59090909090909094</v>
      </c>
      <c r="G7" t="s">
        <v>518</v>
      </c>
      <c r="P7" t="s">
        <v>519</v>
      </c>
    </row>
    <row r="8" spans="4:30" x14ac:dyDescent="0.25">
      <c r="E8" s="192" t="s">
        <v>520</v>
      </c>
      <c r="P8" s="215" t="s">
        <v>521</v>
      </c>
      <c r="Q8" s="215"/>
      <c r="R8" s="215"/>
      <c r="S8" s="215"/>
      <c r="T8" s="215"/>
      <c r="U8" s="215"/>
      <c r="V8" s="215"/>
      <c r="W8" s="215"/>
      <c r="X8" s="215"/>
      <c r="Y8" s="215"/>
      <c r="Z8" s="215"/>
      <c r="AA8" s="215"/>
      <c r="AB8" s="215"/>
      <c r="AC8" s="215"/>
      <c r="AD8" s="215"/>
    </row>
    <row r="9" spans="4:30" x14ac:dyDescent="0.25">
      <c r="P9" s="151" t="s">
        <v>522</v>
      </c>
      <c r="Q9" s="151"/>
      <c r="R9" s="151"/>
      <c r="S9" s="151"/>
      <c r="T9" s="151"/>
      <c r="U9" s="151"/>
      <c r="V9" s="151"/>
      <c r="W9" s="151"/>
      <c r="X9" s="151"/>
      <c r="Y9" s="151"/>
      <c r="Z9" s="151"/>
      <c r="AA9" s="151"/>
      <c r="AB9" s="151"/>
      <c r="AC9" s="151"/>
      <c r="AD9" s="151"/>
    </row>
    <row r="10" spans="4:30" x14ac:dyDescent="0.25">
      <c r="P10" t="s">
        <v>523</v>
      </c>
    </row>
    <row r="16" spans="4:30" x14ac:dyDescent="0.25">
      <c r="E16" s="192"/>
      <c r="F16" s="192"/>
      <c r="G16" s="192"/>
      <c r="H16" s="192"/>
      <c r="I16" s="192"/>
    </row>
    <row r="17" spans="1:9" ht="30" x14ac:dyDescent="0.25">
      <c r="A17" s="218" t="s">
        <v>83</v>
      </c>
      <c r="B17" s="218"/>
      <c r="C17" s="153" t="s">
        <v>524</v>
      </c>
      <c r="D17" s="218">
        <v>2.2000000000000002</v>
      </c>
      <c r="E17" s="192" t="s">
        <v>525</v>
      </c>
    </row>
    <row r="18" spans="1:9" x14ac:dyDescent="0.25">
      <c r="A18" s="218" t="s">
        <v>83</v>
      </c>
      <c r="B18" s="218" t="s">
        <v>526</v>
      </c>
      <c r="C18" s="153" t="s">
        <v>527</v>
      </c>
      <c r="D18" s="218">
        <v>16.8</v>
      </c>
      <c r="E18" s="192"/>
    </row>
    <row r="19" spans="1:9" x14ac:dyDescent="0.25">
      <c r="A19" s="218" t="s">
        <v>83</v>
      </c>
      <c r="B19" s="218" t="s">
        <v>526</v>
      </c>
      <c r="C19" s="153" t="s">
        <v>528</v>
      </c>
      <c r="D19" s="218">
        <v>5.0999999999999996</v>
      </c>
      <c r="E19" s="192"/>
    </row>
    <row r="20" spans="1:9" x14ac:dyDescent="0.25">
      <c r="A20" s="218" t="s">
        <v>83</v>
      </c>
      <c r="B20" s="218" t="s">
        <v>526</v>
      </c>
      <c r="C20" s="153" t="s">
        <v>529</v>
      </c>
      <c r="D20" s="218">
        <v>2.4</v>
      </c>
      <c r="E20" s="192"/>
    </row>
    <row r="21" spans="1:9" x14ac:dyDescent="0.25">
      <c r="A21" s="218" t="s">
        <v>85</v>
      </c>
      <c r="B21" s="218" t="s">
        <v>530</v>
      </c>
      <c r="C21" s="153" t="s">
        <v>531</v>
      </c>
      <c r="D21" s="218">
        <v>35.1</v>
      </c>
      <c r="E21" s="192"/>
    </row>
    <row r="22" spans="1:9" x14ac:dyDescent="0.25">
      <c r="A22" s="218" t="s">
        <v>85</v>
      </c>
      <c r="B22" s="218" t="s">
        <v>530</v>
      </c>
      <c r="C22" s="153" t="s">
        <v>532</v>
      </c>
      <c r="D22" s="218">
        <v>2.4</v>
      </c>
      <c r="E22" s="192"/>
    </row>
    <row r="23" spans="1:9" ht="18" customHeight="1" x14ac:dyDescent="0.25">
      <c r="A23" s="218" t="s">
        <v>85</v>
      </c>
      <c r="B23" s="218" t="s">
        <v>530</v>
      </c>
      <c r="C23" s="153" t="s">
        <v>533</v>
      </c>
      <c r="D23" s="218">
        <v>22.6</v>
      </c>
      <c r="E23" s="192"/>
    </row>
    <row r="24" spans="1:9" ht="15.75" customHeight="1" x14ac:dyDescent="0.25">
      <c r="A24" s="218" t="s">
        <v>85</v>
      </c>
      <c r="B24" s="218" t="s">
        <v>530</v>
      </c>
      <c r="C24" s="153" t="s">
        <v>534</v>
      </c>
      <c r="D24" s="218">
        <v>7.8</v>
      </c>
      <c r="E24" s="192"/>
    </row>
    <row r="25" spans="1:9" x14ac:dyDescent="0.25">
      <c r="A25" s="218" t="s">
        <v>85</v>
      </c>
      <c r="B25" s="218" t="s">
        <v>535</v>
      </c>
      <c r="C25" s="218" t="s">
        <v>536</v>
      </c>
      <c r="D25" s="218">
        <v>27</v>
      </c>
      <c r="E25" s="192"/>
    </row>
    <row r="26" spans="1:9" ht="45" x14ac:dyDescent="0.25">
      <c r="A26" s="218" t="s">
        <v>85</v>
      </c>
      <c r="B26" s="218" t="s">
        <v>535</v>
      </c>
      <c r="C26" s="153" t="s">
        <v>537</v>
      </c>
      <c r="D26" s="218">
        <v>4.4000000000000004</v>
      </c>
      <c r="E26" s="192"/>
    </row>
    <row r="27" spans="1:9" ht="30" x14ac:dyDescent="0.25">
      <c r="A27" s="218" t="s">
        <v>85</v>
      </c>
      <c r="B27" s="218" t="s">
        <v>538</v>
      </c>
      <c r="C27" s="153" t="s">
        <v>539</v>
      </c>
      <c r="D27" s="218">
        <v>22.4</v>
      </c>
      <c r="E27" s="192"/>
    </row>
    <row r="28" spans="1:9" x14ac:dyDescent="0.25">
      <c r="A28" s="218"/>
      <c r="B28" s="218" t="s">
        <v>538</v>
      </c>
      <c r="C28" s="218" t="s">
        <v>540</v>
      </c>
      <c r="D28" s="218">
        <v>13.8</v>
      </c>
      <c r="E28" s="192"/>
    </row>
    <row r="29" spans="1:9" ht="60" x14ac:dyDescent="0.25">
      <c r="A29" s="219"/>
      <c r="B29" s="219"/>
      <c r="C29" s="220" t="s">
        <v>541</v>
      </c>
      <c r="D29" s="221" t="s">
        <v>542</v>
      </c>
      <c r="E29" s="194" t="s">
        <v>543</v>
      </c>
      <c r="F29" s="78" t="s">
        <v>544</v>
      </c>
    </row>
    <row r="30" spans="1:9" x14ac:dyDescent="0.25">
      <c r="A30" s="219" t="s">
        <v>545</v>
      </c>
      <c r="B30" s="219"/>
      <c r="C30" s="219">
        <v>1170</v>
      </c>
      <c r="D30" s="222">
        <f>SUM(D17:D28)</f>
        <v>162</v>
      </c>
      <c r="E30">
        <f>1700-162</f>
        <v>1538</v>
      </c>
      <c r="F30">
        <f>E30/((2030-2008))</f>
        <v>69.909090909090907</v>
      </c>
    </row>
    <row r="31" spans="1:9" x14ac:dyDescent="0.25">
      <c r="A31" s="219" t="s">
        <v>546</v>
      </c>
      <c r="B31" s="223"/>
      <c r="C31" s="223">
        <v>1120</v>
      </c>
      <c r="D31" s="222">
        <f>SUM(D21:D26)</f>
        <v>99.300000000000011</v>
      </c>
      <c r="E31" s="192">
        <f>1120-D31</f>
        <v>1020.7</v>
      </c>
      <c r="F31" s="192">
        <f>E31/(2030-2008)</f>
        <v>46.395454545454548</v>
      </c>
      <c r="G31" s="192"/>
      <c r="H31" s="192"/>
      <c r="I31" s="192"/>
    </row>
    <row r="32" spans="1:9" x14ac:dyDescent="0.25">
      <c r="A32" s="219" t="s">
        <v>547</v>
      </c>
      <c r="B32" s="223"/>
      <c r="C32" s="223"/>
      <c r="D32" s="222">
        <f>SUM(D27+D28+D18)</f>
        <v>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6"/>
  <sheetViews>
    <sheetView zoomScale="80" zoomScaleNormal="80" workbookViewId="0">
      <selection activeCell="R42" sqref="R42"/>
    </sheetView>
  </sheetViews>
  <sheetFormatPr defaultRowHeight="15" x14ac:dyDescent="0.25"/>
  <cols>
    <col min="1" max="1" width="16.28515625" customWidth="1"/>
    <col min="9" max="9" width="13.85546875" customWidth="1"/>
  </cols>
  <sheetData>
    <row r="2" spans="1:52" s="192" customFormat="1" ht="33.75" customHeight="1" x14ac:dyDescent="0.25">
      <c r="B2" s="192" t="s">
        <v>261</v>
      </c>
      <c r="D2" s="315" t="s">
        <v>501</v>
      </c>
      <c r="E2" s="315"/>
      <c r="F2" s="315" t="s">
        <v>501</v>
      </c>
      <c r="G2" s="315"/>
      <c r="H2" s="315"/>
      <c r="I2" s="315"/>
    </row>
    <row r="3" spans="1:52" x14ac:dyDescent="0.25">
      <c r="B3">
        <v>2005</v>
      </c>
      <c r="C3">
        <v>2030</v>
      </c>
      <c r="D3">
        <v>2020</v>
      </c>
      <c r="E3">
        <v>2030</v>
      </c>
      <c r="F3">
        <v>2020</v>
      </c>
      <c r="G3">
        <v>2030</v>
      </c>
      <c r="L3">
        <v>1990</v>
      </c>
      <c r="M3">
        <v>1991</v>
      </c>
      <c r="N3">
        <v>1992</v>
      </c>
      <c r="O3">
        <v>1993</v>
      </c>
      <c r="P3">
        <v>1994</v>
      </c>
      <c r="Q3">
        <v>1995</v>
      </c>
      <c r="R3">
        <v>1996</v>
      </c>
      <c r="S3">
        <v>1997</v>
      </c>
      <c r="T3">
        <v>1998</v>
      </c>
      <c r="U3">
        <v>1999</v>
      </c>
      <c r="V3">
        <v>2000</v>
      </c>
      <c r="W3">
        <v>2001</v>
      </c>
      <c r="X3">
        <v>2002</v>
      </c>
      <c r="Y3">
        <v>2003</v>
      </c>
      <c r="Z3">
        <v>2004</v>
      </c>
      <c r="AA3">
        <v>2005</v>
      </c>
      <c r="AB3">
        <v>2006</v>
      </c>
      <c r="AC3">
        <v>2007</v>
      </c>
      <c r="AD3">
        <v>2008</v>
      </c>
      <c r="AE3">
        <v>2009</v>
      </c>
      <c r="AF3">
        <v>2010</v>
      </c>
      <c r="AG3">
        <v>2011</v>
      </c>
      <c r="AH3">
        <v>2012</v>
      </c>
      <c r="AI3">
        <v>2013</v>
      </c>
      <c r="AJ3">
        <v>2014</v>
      </c>
      <c r="AK3">
        <v>2015</v>
      </c>
      <c r="AL3">
        <v>2016</v>
      </c>
      <c r="AM3">
        <v>2017</v>
      </c>
      <c r="AN3">
        <v>2018</v>
      </c>
      <c r="AO3">
        <v>2019</v>
      </c>
      <c r="AP3">
        <v>2020</v>
      </c>
      <c r="AQ3">
        <v>2021</v>
      </c>
      <c r="AR3">
        <v>2022</v>
      </c>
      <c r="AS3">
        <v>2023</v>
      </c>
      <c r="AT3">
        <v>2024</v>
      </c>
      <c r="AU3">
        <v>2025</v>
      </c>
      <c r="AV3">
        <v>2026</v>
      </c>
      <c r="AW3">
        <v>2027</v>
      </c>
      <c r="AX3">
        <v>2028</v>
      </c>
      <c r="AY3">
        <v>2029</v>
      </c>
      <c r="AZ3">
        <v>2030</v>
      </c>
    </row>
    <row r="4" spans="1:52" x14ac:dyDescent="0.25">
      <c r="A4" t="s">
        <v>83</v>
      </c>
      <c r="B4">
        <v>0.40300000000000002</v>
      </c>
      <c r="C4">
        <f>9.7*0.06</f>
        <v>0.58199999999999996</v>
      </c>
      <c r="E4">
        <f>C4+(SUM(G4:G5))</f>
        <v>0.14199999999999996</v>
      </c>
      <c r="G4">
        <v>-0.12</v>
      </c>
      <c r="L4">
        <f>0.565049</f>
        <v>0.56504900000000002</v>
      </c>
      <c r="M4">
        <f t="shared" ref="M4:AY4" si="0">N4-N5</f>
        <v>0.17742737243947959</v>
      </c>
      <c r="N4">
        <f t="shared" si="0"/>
        <v>0.18291481694791711</v>
      </c>
      <c r="O4">
        <f t="shared" si="0"/>
        <v>0.1885719762349661</v>
      </c>
      <c r="P4">
        <f t="shared" si="0"/>
        <v>0.19440409921130528</v>
      </c>
      <c r="Q4">
        <f t="shared" si="0"/>
        <v>0.20041659712505699</v>
      </c>
      <c r="R4">
        <f t="shared" si="0"/>
        <v>0.20661504858253299</v>
      </c>
      <c r="S4">
        <f t="shared" si="0"/>
        <v>0.21300520472426082</v>
      </c>
      <c r="T4">
        <f t="shared" si="0"/>
        <v>0.21959299456109363</v>
      </c>
      <c r="U4">
        <f t="shared" si="0"/>
        <v>0.22638453047535426</v>
      </c>
      <c r="V4">
        <f t="shared" si="0"/>
        <v>0.2333861138921178</v>
      </c>
      <c r="W4">
        <f t="shared" si="0"/>
        <v>0.24060424112589465</v>
      </c>
      <c r="X4">
        <f t="shared" si="0"/>
        <v>0.24804560940813883</v>
      </c>
      <c r="Y4">
        <f t="shared" si="0"/>
        <v>0.25571712310117406</v>
      </c>
      <c r="Z4">
        <f t="shared" si="0"/>
        <v>0.26362590010430315</v>
      </c>
      <c r="AA4">
        <f t="shared" si="0"/>
        <v>0.2717792784580445</v>
      </c>
      <c r="AB4">
        <f t="shared" si="0"/>
        <v>0.28018482315262322</v>
      </c>
      <c r="AC4">
        <f t="shared" si="0"/>
        <v>0.28885033314703423</v>
      </c>
      <c r="AD4">
        <f t="shared" si="0"/>
        <v>0.29778384860518992</v>
      </c>
      <c r="AE4">
        <f t="shared" si="0"/>
        <v>0.30699365835586589</v>
      </c>
      <c r="AF4">
        <f t="shared" si="0"/>
        <v>0.31648830758336688</v>
      </c>
      <c r="AG4">
        <f t="shared" si="0"/>
        <v>0.32627660575604833</v>
      </c>
      <c r="AH4">
        <f t="shared" si="0"/>
        <v>0.33636763480004983</v>
      </c>
      <c r="AI4">
        <f t="shared" si="0"/>
        <v>0.34677075752582459</v>
      </c>
      <c r="AJ4">
        <f t="shared" si="0"/>
        <v>0.35749562631528309</v>
      </c>
      <c r="AK4">
        <f t="shared" si="0"/>
        <v>0.36855219207761142</v>
      </c>
      <c r="AL4">
        <f t="shared" si="0"/>
        <v>0.3799507134820736</v>
      </c>
      <c r="AM4">
        <f t="shared" si="0"/>
        <v>0.39170176647636451</v>
      </c>
      <c r="AN4">
        <f t="shared" si="0"/>
        <v>0.40381625409934485</v>
      </c>
      <c r="AO4">
        <f t="shared" si="0"/>
        <v>0.41630541659726272</v>
      </c>
      <c r="AP4">
        <f t="shared" si="0"/>
        <v>0.42918084185284816</v>
      </c>
      <c r="AQ4">
        <f t="shared" si="0"/>
        <v>0.44245447613695688</v>
      </c>
      <c r="AR4">
        <f t="shared" si="0"/>
        <v>0.45613863519273906</v>
      </c>
      <c r="AS4">
        <f t="shared" si="0"/>
        <v>0.47024601566261759</v>
      </c>
      <c r="AT4">
        <f t="shared" si="0"/>
        <v>0.48478970686867795</v>
      </c>
      <c r="AU4">
        <f t="shared" si="0"/>
        <v>0.49978320295739997</v>
      </c>
      <c r="AV4">
        <f t="shared" si="0"/>
        <v>0.51524041541999999</v>
      </c>
      <c r="AW4">
        <f t="shared" si="0"/>
        <v>0.53117568599999998</v>
      </c>
      <c r="AX4">
        <f t="shared" si="0"/>
        <v>0.54760379999999997</v>
      </c>
      <c r="AY4">
        <f t="shared" si="0"/>
        <v>0.56453999999999993</v>
      </c>
      <c r="AZ4">
        <f>9.7*0.06</f>
        <v>0.58199999999999996</v>
      </c>
    </row>
    <row r="5" spans="1:52" x14ac:dyDescent="0.25">
      <c r="A5" t="s">
        <v>85</v>
      </c>
      <c r="G5">
        <v>-0.32</v>
      </c>
      <c r="L5">
        <f t="shared" ref="L5:AZ5" si="1">L4*0.03</f>
        <v>1.695147E-2</v>
      </c>
      <c r="M5">
        <f t="shared" si="1"/>
        <v>5.3228211731843871E-3</v>
      </c>
      <c r="N5">
        <f t="shared" si="1"/>
        <v>5.4874445084375136E-3</v>
      </c>
      <c r="O5">
        <f t="shared" si="1"/>
        <v>5.6571592870489828E-3</v>
      </c>
      <c r="P5">
        <f t="shared" si="1"/>
        <v>5.8321229763391583E-3</v>
      </c>
      <c r="Q5">
        <f t="shared" si="1"/>
        <v>6.01249791375171E-3</v>
      </c>
      <c r="R5">
        <f t="shared" si="1"/>
        <v>6.1984514574759892E-3</v>
      </c>
      <c r="S5">
        <f t="shared" si="1"/>
        <v>6.3901561417278241E-3</v>
      </c>
      <c r="T5">
        <f t="shared" si="1"/>
        <v>6.5877898368328089E-3</v>
      </c>
      <c r="U5">
        <f t="shared" si="1"/>
        <v>6.7915359142606277E-3</v>
      </c>
      <c r="V5">
        <f t="shared" si="1"/>
        <v>7.0015834167635339E-3</v>
      </c>
      <c r="W5">
        <f t="shared" si="1"/>
        <v>7.2181272337768394E-3</v>
      </c>
      <c r="X5">
        <f t="shared" si="1"/>
        <v>7.441368282244165E-3</v>
      </c>
      <c r="Y5">
        <f t="shared" si="1"/>
        <v>7.6715136930352217E-3</v>
      </c>
      <c r="Z5">
        <f t="shared" si="1"/>
        <v>7.9087770031290947E-3</v>
      </c>
      <c r="AA5">
        <f t="shared" si="1"/>
        <v>8.1533783537413342E-3</v>
      </c>
      <c r="AB5">
        <f t="shared" si="1"/>
        <v>8.4055446945786958E-3</v>
      </c>
      <c r="AC5">
        <f t="shared" si="1"/>
        <v>8.6655099944110258E-3</v>
      </c>
      <c r="AD5">
        <f t="shared" si="1"/>
        <v>8.9335154581556969E-3</v>
      </c>
      <c r="AE5">
        <f t="shared" si="1"/>
        <v>9.2098097506759773E-3</v>
      </c>
      <c r="AF5">
        <f t="shared" si="1"/>
        <v>9.4946492275010067E-3</v>
      </c>
      <c r="AG5">
        <f t="shared" si="1"/>
        <v>9.7882981726814498E-3</v>
      </c>
      <c r="AH5">
        <f t="shared" si="1"/>
        <v>1.0091029044001495E-2</v>
      </c>
      <c r="AI5">
        <f t="shared" si="1"/>
        <v>1.0403122725774738E-2</v>
      </c>
      <c r="AJ5">
        <f t="shared" si="1"/>
        <v>1.0724868789458492E-2</v>
      </c>
      <c r="AK5">
        <f t="shared" si="1"/>
        <v>1.1056565762328342E-2</v>
      </c>
      <c r="AL5">
        <f t="shared" si="1"/>
        <v>1.1398521404462207E-2</v>
      </c>
      <c r="AM5">
        <f t="shared" si="1"/>
        <v>1.1751052994290936E-2</v>
      </c>
      <c r="AN5">
        <f t="shared" si="1"/>
        <v>1.2114487622980345E-2</v>
      </c>
      <c r="AO5">
        <f t="shared" si="1"/>
        <v>1.248916249791788E-2</v>
      </c>
      <c r="AP5">
        <f t="shared" si="1"/>
        <v>1.2875425255585445E-2</v>
      </c>
      <c r="AQ5">
        <f t="shared" si="1"/>
        <v>1.3273634284108706E-2</v>
      </c>
      <c r="AR5">
        <f t="shared" si="1"/>
        <v>1.3684159055782172E-2</v>
      </c>
      <c r="AS5">
        <f t="shared" si="1"/>
        <v>1.4107380469878528E-2</v>
      </c>
      <c r="AT5">
        <f t="shared" si="1"/>
        <v>1.4543691206060338E-2</v>
      </c>
      <c r="AU5">
        <f t="shared" si="1"/>
        <v>1.4993496088721999E-2</v>
      </c>
      <c r="AV5">
        <f t="shared" si="1"/>
        <v>1.54572124626E-2</v>
      </c>
      <c r="AW5">
        <f t="shared" si="1"/>
        <v>1.5935270579999997E-2</v>
      </c>
      <c r="AX5">
        <f t="shared" si="1"/>
        <v>1.6428113999999997E-2</v>
      </c>
      <c r="AY5">
        <f t="shared" si="1"/>
        <v>1.6936199999999998E-2</v>
      </c>
      <c r="AZ5">
        <f t="shared" si="1"/>
        <v>1.746E-2</v>
      </c>
    </row>
    <row r="9" spans="1:52" x14ac:dyDescent="0.25">
      <c r="J9" t="s">
        <v>8</v>
      </c>
    </row>
    <row r="10" spans="1:52" x14ac:dyDescent="0.25">
      <c r="A10" t="s">
        <v>502</v>
      </c>
      <c r="B10" t="s">
        <v>503</v>
      </c>
      <c r="J10">
        <f>0.06*9.7</f>
        <v>0.58199999999999996</v>
      </c>
    </row>
    <row r="11" spans="1:52" x14ac:dyDescent="0.25">
      <c r="A11" t="s">
        <v>504</v>
      </c>
      <c r="B11" t="s">
        <v>505</v>
      </c>
      <c r="J11">
        <f>6.2*0.053</f>
        <v>0.3286</v>
      </c>
    </row>
    <row r="12" spans="1:52" x14ac:dyDescent="0.25">
      <c r="A12" t="s">
        <v>506</v>
      </c>
      <c r="B12" t="s">
        <v>507</v>
      </c>
      <c r="J12">
        <f>0.056*7.2</f>
        <v>0.4032</v>
      </c>
    </row>
    <row r="14" spans="1:52" x14ac:dyDescent="0.25">
      <c r="M14">
        <f>(AZ4-L4)/L4</f>
        <v>2.9999168213730026E-2</v>
      </c>
    </row>
    <row r="16" spans="1:52" x14ac:dyDescent="0.25">
      <c r="J16">
        <v>1990</v>
      </c>
      <c r="K16">
        <v>1991</v>
      </c>
      <c r="L16">
        <v>1992</v>
      </c>
      <c r="M16">
        <v>1993</v>
      </c>
      <c r="N16">
        <v>1994</v>
      </c>
      <c r="O16">
        <v>1995</v>
      </c>
      <c r="P16">
        <v>1996</v>
      </c>
      <c r="Q16">
        <v>1997</v>
      </c>
      <c r="R16">
        <v>1998</v>
      </c>
      <c r="S16">
        <v>1999</v>
      </c>
      <c r="T16">
        <v>2000</v>
      </c>
      <c r="U16">
        <v>2001</v>
      </c>
      <c r="V16">
        <v>2002</v>
      </c>
      <c r="W16">
        <v>2003</v>
      </c>
      <c r="X16">
        <v>2004</v>
      </c>
      <c r="Y16">
        <v>2005</v>
      </c>
      <c r="Z16">
        <v>2006</v>
      </c>
      <c r="AA16">
        <v>2007</v>
      </c>
      <c r="AB16">
        <v>2008</v>
      </c>
      <c r="AC16">
        <v>2009</v>
      </c>
      <c r="AD16">
        <v>2010</v>
      </c>
      <c r="AE16">
        <v>2011</v>
      </c>
      <c r="AF16">
        <v>2012</v>
      </c>
      <c r="AG16">
        <v>2013</v>
      </c>
      <c r="AH16">
        <v>2014</v>
      </c>
      <c r="AI16">
        <v>2015</v>
      </c>
      <c r="AJ16">
        <v>2016</v>
      </c>
      <c r="AK16">
        <v>2017</v>
      </c>
      <c r="AL16">
        <v>2018</v>
      </c>
      <c r="AM16">
        <v>2019</v>
      </c>
      <c r="AN16">
        <v>2020</v>
      </c>
      <c r="AO16">
        <v>2021</v>
      </c>
      <c r="AP16">
        <v>2022</v>
      </c>
      <c r="AQ16">
        <v>2023</v>
      </c>
      <c r="AR16">
        <v>2024</v>
      </c>
      <c r="AS16">
        <v>2025</v>
      </c>
      <c r="AT16">
        <v>2026</v>
      </c>
      <c r="AU16">
        <v>2027</v>
      </c>
      <c r="AV16">
        <v>2028</v>
      </c>
      <c r="AW16">
        <v>2029</v>
      </c>
      <c r="AX16">
        <v>2030</v>
      </c>
    </row>
    <row r="17" spans="2:50" x14ac:dyDescent="0.25">
      <c r="J17">
        <f t="shared" ref="J17:AU17" si="2">K17-K18</f>
        <v>5.3205629127117637</v>
      </c>
      <c r="K17">
        <f t="shared" si="2"/>
        <v>5.3365726306035741</v>
      </c>
      <c r="L17">
        <f t="shared" si="2"/>
        <v>5.3526305221700845</v>
      </c>
      <c r="M17">
        <f t="shared" si="2"/>
        <v>5.3687367323671857</v>
      </c>
      <c r="N17">
        <f t="shared" si="2"/>
        <v>5.3848914065869469</v>
      </c>
      <c r="O17">
        <f t="shared" si="2"/>
        <v>5.4010946906589234</v>
      </c>
      <c r="P17">
        <f t="shared" si="2"/>
        <v>5.4173467308514782</v>
      </c>
      <c r="Q17">
        <f t="shared" si="2"/>
        <v>5.4336476738730974</v>
      </c>
      <c r="R17">
        <f t="shared" si="2"/>
        <v>5.4499976668737187</v>
      </c>
      <c r="S17">
        <f t="shared" si="2"/>
        <v>5.4663968574460569</v>
      </c>
      <c r="T17">
        <f t="shared" si="2"/>
        <v>5.4828453936269375</v>
      </c>
      <c r="U17">
        <f t="shared" si="2"/>
        <v>5.4993434238986332</v>
      </c>
      <c r="V17">
        <f t="shared" si="2"/>
        <v>5.5158910971902042</v>
      </c>
      <c r="W17">
        <f t="shared" si="2"/>
        <v>5.5324885628788412</v>
      </c>
      <c r="X17">
        <f t="shared" si="2"/>
        <v>5.5491359707912151</v>
      </c>
      <c r="Y17">
        <f t="shared" si="2"/>
        <v>5.5658334712048294</v>
      </c>
      <c r="Z17">
        <f t="shared" si="2"/>
        <v>5.5825812148493776</v>
      </c>
      <c r="AA17">
        <f t="shared" si="2"/>
        <v>5.5993793529081017</v>
      </c>
      <c r="AB17">
        <f t="shared" si="2"/>
        <v>5.6162280370191588</v>
      </c>
      <c r="AC17">
        <f t="shared" si="2"/>
        <v>5.63312741927699</v>
      </c>
      <c r="AD17">
        <f t="shared" si="2"/>
        <v>5.6500776522336915</v>
      </c>
      <c r="AE17">
        <f t="shared" si="2"/>
        <v>5.6670788889003925</v>
      </c>
      <c r="AF17">
        <f t="shared" si="2"/>
        <v>5.6841312827486385</v>
      </c>
      <c r="AG17">
        <f t="shared" si="2"/>
        <v>5.7012349877117741</v>
      </c>
      <c r="AH17">
        <f t="shared" si="2"/>
        <v>5.7183901581863328</v>
      </c>
      <c r="AI17">
        <f t="shared" si="2"/>
        <v>5.7355969490334333</v>
      </c>
      <c r="AJ17">
        <f t="shared" si="2"/>
        <v>5.7528555155801735</v>
      </c>
      <c r="AK17">
        <f t="shared" si="2"/>
        <v>5.7701660136210364</v>
      </c>
      <c r="AL17">
        <f t="shared" si="2"/>
        <v>5.7875285994192947</v>
      </c>
      <c r="AM17">
        <f t="shared" si="2"/>
        <v>5.8049434297084197</v>
      </c>
      <c r="AN17">
        <f t="shared" si="2"/>
        <v>5.8224106616935005</v>
      </c>
      <c r="AO17">
        <f t="shared" si="2"/>
        <v>5.8399304530526583</v>
      </c>
      <c r="AP17">
        <f t="shared" si="2"/>
        <v>5.857502961938474</v>
      </c>
      <c r="AQ17">
        <f t="shared" si="2"/>
        <v>5.8751283469794124</v>
      </c>
      <c r="AR17">
        <f t="shared" si="2"/>
        <v>5.8928067672812565</v>
      </c>
      <c r="AS17">
        <f t="shared" si="2"/>
        <v>5.910538382428542</v>
      </c>
      <c r="AT17">
        <f t="shared" si="2"/>
        <v>5.9283233524860002</v>
      </c>
      <c r="AU17">
        <f t="shared" si="2"/>
        <v>5.9461618380000001</v>
      </c>
      <c r="AV17">
        <f>AW17-AW18</f>
        <v>5.964054</v>
      </c>
      <c r="AW17">
        <f>AX17-AX18</f>
        <v>5.9820000000000002</v>
      </c>
      <c r="AX17">
        <v>6</v>
      </c>
    </row>
    <row r="18" spans="2:50" x14ac:dyDescent="0.25">
      <c r="J18">
        <f t="shared" ref="J18:AU18" si="3">J17*0.003</f>
        <v>1.5961688738135291E-2</v>
      </c>
      <c r="K18">
        <f t="shared" si="3"/>
        <v>1.6009717891810722E-2</v>
      </c>
      <c r="L18">
        <f t="shared" si="3"/>
        <v>1.6057891566510253E-2</v>
      </c>
      <c r="M18">
        <f t="shared" si="3"/>
        <v>1.6106210197101557E-2</v>
      </c>
      <c r="N18">
        <f t="shared" si="3"/>
        <v>1.6154674219760842E-2</v>
      </c>
      <c r="O18">
        <f t="shared" si="3"/>
        <v>1.620328407197677E-2</v>
      </c>
      <c r="P18">
        <f t="shared" si="3"/>
        <v>1.6252040192554437E-2</v>
      </c>
      <c r="Q18">
        <f t="shared" si="3"/>
        <v>1.6300943021619291E-2</v>
      </c>
      <c r="R18">
        <f t="shared" si="3"/>
        <v>1.6349993000621156E-2</v>
      </c>
      <c r="S18">
        <f t="shared" si="3"/>
        <v>1.6399190572338171E-2</v>
      </c>
      <c r="T18">
        <f t="shared" si="3"/>
        <v>1.6448536180880814E-2</v>
      </c>
      <c r="U18">
        <f t="shared" si="3"/>
        <v>1.6498030271695899E-2</v>
      </c>
      <c r="V18">
        <f t="shared" si="3"/>
        <v>1.6547673291570614E-2</v>
      </c>
      <c r="W18">
        <f t="shared" si="3"/>
        <v>1.6597465688636525E-2</v>
      </c>
      <c r="X18">
        <f t="shared" si="3"/>
        <v>1.6647407912373645E-2</v>
      </c>
      <c r="Y18">
        <f t="shared" si="3"/>
        <v>1.6697500413614487E-2</v>
      </c>
      <c r="Z18">
        <f t="shared" si="3"/>
        <v>1.6747743644548133E-2</v>
      </c>
      <c r="AA18">
        <f t="shared" si="3"/>
        <v>1.6798138058724304E-2</v>
      </c>
      <c r="AB18">
        <f t="shared" si="3"/>
        <v>1.6848684111057478E-2</v>
      </c>
      <c r="AC18">
        <f t="shared" si="3"/>
        <v>1.6899382257830969E-2</v>
      </c>
      <c r="AD18">
        <f t="shared" si="3"/>
        <v>1.6950232956701075E-2</v>
      </c>
      <c r="AE18">
        <f t="shared" si="3"/>
        <v>1.7001236666701176E-2</v>
      </c>
      <c r="AF18">
        <f t="shared" si="3"/>
        <v>1.7052393848245917E-2</v>
      </c>
      <c r="AG18">
        <f t="shared" si="3"/>
        <v>1.7103704963135322E-2</v>
      </c>
      <c r="AH18">
        <f t="shared" si="3"/>
        <v>1.7155170474558997E-2</v>
      </c>
      <c r="AI18">
        <f t="shared" si="3"/>
        <v>1.7206790847100299E-2</v>
      </c>
      <c r="AJ18">
        <f t="shared" si="3"/>
        <v>1.725856654674052E-2</v>
      </c>
      <c r="AK18">
        <f t="shared" si="3"/>
        <v>1.7310498040863109E-2</v>
      </c>
      <c r="AL18">
        <f t="shared" si="3"/>
        <v>1.7362585798257883E-2</v>
      </c>
      <c r="AM18">
        <f t="shared" si="3"/>
        <v>1.7414830289125261E-2</v>
      </c>
      <c r="AN18">
        <f t="shared" si="3"/>
        <v>1.7467231985080503E-2</v>
      </c>
      <c r="AO18">
        <f t="shared" si="3"/>
        <v>1.7519791359157974E-2</v>
      </c>
      <c r="AP18">
        <f t="shared" si="3"/>
        <v>1.7572508885815422E-2</v>
      </c>
      <c r="AQ18">
        <f t="shared" si="3"/>
        <v>1.7625385040938239E-2</v>
      </c>
      <c r="AR18">
        <f t="shared" si="3"/>
        <v>1.7678420301843769E-2</v>
      </c>
      <c r="AS18">
        <f t="shared" si="3"/>
        <v>1.7731615147285627E-2</v>
      </c>
      <c r="AT18">
        <f t="shared" si="3"/>
        <v>1.7784970057458001E-2</v>
      </c>
      <c r="AU18">
        <f t="shared" si="3"/>
        <v>1.7838485514E-2</v>
      </c>
      <c r="AV18">
        <f>AV17*0.003</f>
        <v>1.7892162E-2</v>
      </c>
      <c r="AW18">
        <f>AW17*0.003</f>
        <v>1.7946E-2</v>
      </c>
      <c r="AX18">
        <f>AX17*0.003</f>
        <v>1.8000000000000002E-2</v>
      </c>
    </row>
    <row r="26" spans="2:50" x14ac:dyDescent="0.25">
      <c r="B26" t="s">
        <v>508</v>
      </c>
    </row>
  </sheetData>
  <mergeCells count="3">
    <mergeCell ref="D2:E2"/>
    <mergeCell ref="F2:G2"/>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K11" sqref="K11"/>
    </sheetView>
  </sheetViews>
  <sheetFormatPr defaultRowHeight="15" x14ac:dyDescent="0.25"/>
  <cols>
    <col min="1" max="1" width="2.7109375" customWidth="1"/>
    <col min="2" max="2" width="24.7109375" customWidth="1"/>
    <col min="5" max="5" width="12.140625" customWidth="1"/>
    <col min="8" max="8" width="13.28515625" customWidth="1"/>
    <col min="9" max="9" width="2.7109375" customWidth="1"/>
  </cols>
  <sheetData>
    <row r="1" spans="1:9" ht="21" x14ac:dyDescent="0.25">
      <c r="A1" s="10"/>
      <c r="B1" s="48"/>
      <c r="C1" s="48"/>
      <c r="D1" s="48"/>
      <c r="E1" s="48"/>
      <c r="F1" s="48"/>
      <c r="G1" s="15"/>
      <c r="H1" s="15"/>
      <c r="I1" s="7"/>
    </row>
    <row r="2" spans="1:9" ht="21" x14ac:dyDescent="0.25">
      <c r="A2" s="10"/>
      <c r="B2" s="43" t="s">
        <v>58</v>
      </c>
      <c r="C2" s="43"/>
      <c r="D2" s="43"/>
      <c r="E2" s="43"/>
      <c r="F2" s="43"/>
      <c r="G2" s="6"/>
      <c r="H2" s="6"/>
      <c r="I2" s="7"/>
    </row>
    <row r="3" spans="1:9" ht="21" x14ac:dyDescent="0.25">
      <c r="A3" s="10"/>
      <c r="B3" s="59" t="s">
        <v>54</v>
      </c>
      <c r="C3" s="304">
        <v>2020</v>
      </c>
      <c r="D3" s="304">
        <v>2020</v>
      </c>
      <c r="E3" s="305">
        <v>2020</v>
      </c>
      <c r="F3" s="304">
        <v>2030</v>
      </c>
      <c r="G3" s="306">
        <v>2030</v>
      </c>
      <c r="H3" s="306">
        <v>2030</v>
      </c>
      <c r="I3" s="7"/>
    </row>
    <row r="4" spans="1:9" ht="23.25" customHeight="1" thickBot="1" x14ac:dyDescent="0.3">
      <c r="A4" s="11"/>
      <c r="B4" s="60" t="s">
        <v>13</v>
      </c>
      <c r="C4" s="58" t="s">
        <v>55</v>
      </c>
      <c r="D4" s="58" t="s">
        <v>56</v>
      </c>
      <c r="E4" s="60" t="s">
        <v>57</v>
      </c>
      <c r="F4" s="58" t="s">
        <v>55</v>
      </c>
      <c r="G4" s="58" t="s">
        <v>56</v>
      </c>
      <c r="H4" s="58" t="s">
        <v>57</v>
      </c>
      <c r="I4" s="16"/>
    </row>
    <row r="5" spans="1:9" ht="21.75" thickBot="1" x14ac:dyDescent="0.3">
      <c r="A5" s="10"/>
      <c r="B5" s="61" t="s">
        <v>5</v>
      </c>
      <c r="C5" s="63"/>
      <c r="D5" s="63"/>
      <c r="E5" s="300">
        <f>MEDIAN('[1]V. Database_Clean'!O63:O66)</f>
        <v>1.9348767201834864</v>
      </c>
      <c r="F5" s="302">
        <f>MIN('[1]V. Database_Clean'!P63:P66)</f>
        <v>0.44</v>
      </c>
      <c r="G5" s="302">
        <f>MAX('[1]V. Database_Clean'!P63:P66)</f>
        <v>5.8046301605504595</v>
      </c>
      <c r="H5" s="300">
        <f>MEDIAN('[1]V. Database_Clean'!P63:P66)</f>
        <v>3.1223150802752295</v>
      </c>
      <c r="I5" s="7"/>
    </row>
    <row r="6" spans="1:9" ht="21.75" thickBot="1" x14ac:dyDescent="0.3">
      <c r="A6" s="10"/>
      <c r="B6" s="61" t="s">
        <v>2</v>
      </c>
      <c r="C6" s="302">
        <f>MIN('[1]V. Database_Clean'!O38:O55)</f>
        <v>0.57109210451691628</v>
      </c>
      <c r="D6" s="302">
        <f>MAX('[1]V. Database_Clean'!O38:O55)</f>
        <v>2.7670000000000003</v>
      </c>
      <c r="E6" s="300">
        <f>MEDIAN('[1]V. Database_Clean'!O38:O55)</f>
        <v>1.6690460522584583</v>
      </c>
      <c r="F6" s="302">
        <f>MIN('[1]V. Database_Clean'!P38:P55)</f>
        <v>0.57109210451691628</v>
      </c>
      <c r="G6" s="302">
        <f>MAX('[1]V. Database_Clean'!P38:P55)</f>
        <v>1.3090000000000002</v>
      </c>
      <c r="H6" s="300">
        <f>MEDIAN('[1]V. Database_Clean'!P38:P55)</f>
        <v>0.80499999999999994</v>
      </c>
      <c r="I6" s="7"/>
    </row>
    <row r="7" spans="1:9" ht="21.75" thickBot="1" x14ac:dyDescent="0.3">
      <c r="A7" s="10"/>
      <c r="B7" s="61" t="s">
        <v>60</v>
      </c>
      <c r="C7" s="302"/>
      <c r="D7" s="302"/>
      <c r="E7" s="300">
        <f>MEDIAN('[1]V. Database_Clean'!O16:O19)</f>
        <v>1.1732264620031869</v>
      </c>
      <c r="F7" s="302">
        <f>MIN('[1]V. Database_Clean'!P16:P19)</f>
        <v>0.8</v>
      </c>
      <c r="G7" s="302">
        <f>MAX('[1]V. Database_Clean'!P16:P19)</f>
        <v>1.1732264620031869</v>
      </c>
      <c r="H7" s="300">
        <f>MEDIAN('[1]V. Database_Clean'!P16:P19)</f>
        <v>0.98661323100159348</v>
      </c>
      <c r="I7" s="7"/>
    </row>
    <row r="8" spans="1:9" ht="21.75" thickBot="1" x14ac:dyDescent="0.3">
      <c r="A8" s="10"/>
      <c r="B8" s="61" t="s">
        <v>61</v>
      </c>
      <c r="C8" s="302"/>
      <c r="D8" s="302"/>
      <c r="E8" s="301">
        <f>MEDIAN('[1]V. Database_Clean'!O32:O37)</f>
        <v>1.0115733215986704</v>
      </c>
      <c r="F8" s="302">
        <f>MIN('[1]V. Database_Clean'!P32:P37)</f>
        <v>0.39700000000000002</v>
      </c>
      <c r="G8" s="302">
        <f>MAX('[1]V. Database_Clean'!P32:P37)</f>
        <v>1.0115733215986704</v>
      </c>
      <c r="H8" s="301">
        <f>MEDIAN('[1]V. Database_Clean'!P32:P37)</f>
        <v>0.70428666079933522</v>
      </c>
      <c r="I8" s="7"/>
    </row>
    <row r="9" spans="1:9" ht="21.75" thickBot="1" x14ac:dyDescent="0.3">
      <c r="A9" s="10"/>
      <c r="B9" s="61" t="s">
        <v>7</v>
      </c>
      <c r="C9" s="302">
        <f>MIN('[1]V. Database_Clean'!O5:O15)</f>
        <v>0.25645763412803563</v>
      </c>
      <c r="D9" s="302">
        <f>MAX('[1]V. Database_Clean'!O5:O15)</f>
        <v>0.47666666666666668</v>
      </c>
      <c r="E9" s="300">
        <f>MEDIAN('[1]V. Database_Clean'!O5:O15)</f>
        <v>0.45</v>
      </c>
      <c r="F9" s="302">
        <f>MIN('[1]V. Database_Clean'!P5:P15)</f>
        <v>0.25645763412803563</v>
      </c>
      <c r="G9" s="302">
        <f>MAX('[1]V. Database_Clean'!P5:P15)</f>
        <v>1.62</v>
      </c>
      <c r="H9" s="300">
        <f>MEDIAN('[1]V. Database_Clean'!P5:P15)</f>
        <v>0.52533333333333343</v>
      </c>
      <c r="I9" s="7"/>
    </row>
    <row r="10" spans="1:9" ht="21.75" thickBot="1" x14ac:dyDescent="0.3">
      <c r="A10" s="10"/>
      <c r="B10" s="61" t="s">
        <v>6</v>
      </c>
      <c r="C10" s="302">
        <f>MIN('[1]V. Database_Clean'!O28:O31)</f>
        <v>0.16099999999999998</v>
      </c>
      <c r="D10" s="302">
        <f>MAX('[1]V. Database_Clean'!O28:O31)</f>
        <v>0.68583626906044381</v>
      </c>
      <c r="E10" s="300">
        <f>MEDIAN('[1]V. Database_Clean'!O28:O31)</f>
        <v>0.42341813453022187</v>
      </c>
      <c r="F10" s="302">
        <f>MIN('[1]V. Database_Clean'!P28:P31)</f>
        <v>0.15899999999999997</v>
      </c>
      <c r="G10" s="302">
        <f>MAX('[1]V. Database_Clean'!P28:P31)</f>
        <v>0.68583626906044381</v>
      </c>
      <c r="H10" s="300">
        <f>MEDIAN('[1]V. Database_Clean'!P28:P31)</f>
        <v>0.42241813453022187</v>
      </c>
      <c r="I10" s="7"/>
    </row>
    <row r="11" spans="1:9" ht="21.75" thickBot="1" x14ac:dyDescent="0.3">
      <c r="A11" s="10"/>
      <c r="B11" s="61" t="s">
        <v>1</v>
      </c>
      <c r="C11" s="302">
        <f>MIN('[1]V. Database_Clean'!O56:O62)</f>
        <v>6.9909090909090921E-2</v>
      </c>
      <c r="D11" s="302">
        <f>MAX('[1]V. Database_Clean'!O56:O62)</f>
        <v>0.3741565</v>
      </c>
      <c r="E11" s="300">
        <f>MEDIAN('[1]V. Database_Clean'!O56:O62)</f>
        <v>0.15103668869187636</v>
      </c>
      <c r="F11" s="302">
        <f>MIN('[1]V. Database_Clean'!P56:P62)</f>
        <v>0.15103668869187636</v>
      </c>
      <c r="G11" s="302">
        <f>MAX('[1]V. Database_Clean'!P56:P62)</f>
        <v>0.31231700000000001</v>
      </c>
      <c r="H11" s="300">
        <f>MEDIAN('[1]V. Database_Clean'!P56:P62)</f>
        <v>0.16199999999999998</v>
      </c>
      <c r="I11" s="7"/>
    </row>
    <row r="12" spans="1:9" ht="21" x14ac:dyDescent="0.25">
      <c r="A12" s="10"/>
      <c r="B12" s="61" t="s">
        <v>59</v>
      </c>
      <c r="C12" s="302"/>
      <c r="D12" s="302"/>
      <c r="E12" s="303">
        <f>MEDIAN('[1]V. Database_Clean'!O20:O27)</f>
        <v>2.0644984046804479E-2</v>
      </c>
      <c r="F12" s="302"/>
      <c r="G12" s="302"/>
      <c r="H12" s="303">
        <f>MEDIAN('[1]V. Database_Clean'!P20:P27)</f>
        <v>2.0648389046804574E-2</v>
      </c>
      <c r="I12" s="7"/>
    </row>
    <row r="13" spans="1:9" ht="21" x14ac:dyDescent="0.25">
      <c r="A13" s="10"/>
      <c r="B13" s="61"/>
      <c r="C13" s="64"/>
      <c r="D13" s="64"/>
      <c r="E13" s="65"/>
      <c r="F13" s="43"/>
      <c r="G13" s="43"/>
      <c r="H13" s="43"/>
      <c r="I13" s="7"/>
    </row>
    <row r="14" spans="1:9" ht="21" x14ac:dyDescent="0.25">
      <c r="A14" s="10"/>
      <c r="B14" s="61" t="s">
        <v>62</v>
      </c>
      <c r="C14" s="302">
        <f>SUM(C5:C12)+E5+E7+E8+E12</f>
        <v>5.1987803173861913</v>
      </c>
      <c r="D14" s="302">
        <f>SUM(D5:D12)+E5+E7+E8+E12</f>
        <v>8.4439809235592573</v>
      </c>
      <c r="E14" s="309">
        <f>SUM(E5:E12)</f>
        <v>6.8338223633127049</v>
      </c>
      <c r="F14" s="302">
        <f>SUM(F5:F12)+H12</f>
        <v>2.7952348163836329</v>
      </c>
      <c r="G14" s="302">
        <f>SUM(G5:G12)+H12</f>
        <v>11.937231602259564</v>
      </c>
      <c r="H14" s="309">
        <f>SUM(H5:H12)</f>
        <v>6.7486148289865175</v>
      </c>
      <c r="I14" s="7"/>
    </row>
    <row r="15" spans="1:9" ht="21" x14ac:dyDescent="0.25">
      <c r="A15" s="12"/>
      <c r="B15" s="61" t="s">
        <v>589</v>
      </c>
      <c r="C15" s="115"/>
      <c r="D15" s="115"/>
      <c r="E15" s="307">
        <f>E14/9</f>
        <v>0.7593135959236339</v>
      </c>
      <c r="F15" s="115"/>
      <c r="G15" s="115"/>
      <c r="H15" s="308">
        <f>H14/15.5</f>
        <v>0.43539450509590438</v>
      </c>
      <c r="I15" s="7"/>
    </row>
    <row r="16" spans="1:9" ht="21" x14ac:dyDescent="0.25">
      <c r="A16" s="10"/>
      <c r="B16" s="298"/>
      <c r="C16" s="48"/>
      <c r="D16" s="48"/>
      <c r="E16" s="298"/>
      <c r="F16" s="48"/>
      <c r="G16" s="48"/>
      <c r="H16" s="48"/>
      <c r="I16" s="7"/>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82"/>
  <sheetViews>
    <sheetView zoomScale="60" zoomScaleNormal="60" workbookViewId="0">
      <pane xSplit="7" ySplit="4" topLeftCell="W5" activePane="bottomRight" state="frozen"/>
      <selection pane="topRight" activeCell="H1" sqref="H1"/>
      <selection pane="bottomLeft" activeCell="A5" sqref="A5"/>
      <selection pane="bottomRight" activeCell="Z16" sqref="Z16:AA16"/>
    </sheetView>
  </sheetViews>
  <sheetFormatPr defaultRowHeight="15" x14ac:dyDescent="0.25"/>
  <cols>
    <col min="1" max="2" width="34.140625" style="102" customWidth="1"/>
    <col min="3" max="3" width="48.140625" style="102" customWidth="1"/>
    <col min="4" max="4" width="41.5703125" style="102" customWidth="1"/>
    <col min="5" max="6" width="46.140625" style="102" customWidth="1"/>
    <col min="7" max="8" width="56" style="102" customWidth="1"/>
    <col min="9" max="9" width="80.85546875" style="102" customWidth="1"/>
    <col min="10" max="10" width="67" style="102" bestFit="1" customWidth="1"/>
    <col min="11" max="11" width="36" style="102" customWidth="1"/>
    <col min="12" max="13" width="18.28515625" style="102" customWidth="1"/>
    <col min="14" max="15" width="13.140625" style="102" bestFit="1" customWidth="1"/>
    <col min="16" max="17" width="13.140625" style="90" customWidth="1"/>
    <col min="18" max="19" width="13.28515625" style="174" bestFit="1" customWidth="1"/>
    <col min="20" max="21" width="13.28515625" style="100" customWidth="1"/>
    <col min="22" max="22" width="18.5703125" style="167" customWidth="1"/>
    <col min="23" max="23" width="18.28515625" style="167" customWidth="1"/>
    <col min="24" max="25" width="18.28515625" style="164" customWidth="1"/>
    <col min="26" max="27" width="13.28515625" style="157" customWidth="1"/>
    <col min="28" max="28" width="42.85546875" style="102" customWidth="1"/>
    <col min="29" max="29" width="42.85546875" style="101" customWidth="1"/>
    <col min="30" max="31" width="9.140625" style="102"/>
    <col min="32" max="32" width="62.5703125" style="101" customWidth="1"/>
    <col min="33" max="16384" width="9.140625" style="78"/>
  </cols>
  <sheetData>
    <row r="2" spans="1:32" ht="48.75" customHeight="1" x14ac:dyDescent="0.25">
      <c r="P2" s="181" t="s">
        <v>209</v>
      </c>
      <c r="Q2" s="181" t="s">
        <v>209</v>
      </c>
      <c r="R2" s="182" t="s">
        <v>210</v>
      </c>
      <c r="S2" s="182" t="s">
        <v>210</v>
      </c>
      <c r="T2" s="183" t="s">
        <v>209</v>
      </c>
      <c r="U2" s="183" t="s">
        <v>209</v>
      </c>
      <c r="V2" s="184" t="s">
        <v>210</v>
      </c>
      <c r="W2" s="184" t="s">
        <v>210</v>
      </c>
      <c r="X2" s="185" t="s">
        <v>255</v>
      </c>
      <c r="Y2" s="185" t="s">
        <v>209</v>
      </c>
      <c r="Z2" s="186" t="s">
        <v>210</v>
      </c>
      <c r="AA2" s="186" t="s">
        <v>210</v>
      </c>
      <c r="AC2" s="102"/>
      <c r="AF2" s="102"/>
    </row>
    <row r="3" spans="1:32" ht="45" x14ac:dyDescent="0.25">
      <c r="N3" s="102" t="s">
        <v>38</v>
      </c>
      <c r="P3" s="90" t="s">
        <v>44</v>
      </c>
      <c r="Q3" s="90" t="s">
        <v>44</v>
      </c>
      <c r="R3" s="174" t="s">
        <v>44</v>
      </c>
      <c r="Z3" s="157" t="s">
        <v>51</v>
      </c>
    </row>
    <row r="4" spans="1:32" s="106" customFormat="1" ht="136.5" customHeight="1" x14ac:dyDescent="0.25">
      <c r="A4" s="131" t="s">
        <v>206</v>
      </c>
      <c r="B4" s="131" t="s">
        <v>13</v>
      </c>
      <c r="C4" s="131" t="s">
        <v>0</v>
      </c>
      <c r="D4" s="131" t="s">
        <v>3</v>
      </c>
      <c r="E4" s="131" t="s">
        <v>69</v>
      </c>
      <c r="F4" s="131" t="s">
        <v>205</v>
      </c>
      <c r="G4" s="131" t="s">
        <v>172</v>
      </c>
      <c r="H4" s="131" t="s">
        <v>198</v>
      </c>
      <c r="I4" s="131" t="s">
        <v>70</v>
      </c>
      <c r="J4" s="131" t="s">
        <v>71</v>
      </c>
      <c r="K4" s="131" t="s">
        <v>43</v>
      </c>
      <c r="L4" s="131" t="s">
        <v>50</v>
      </c>
      <c r="M4" s="131" t="s">
        <v>208</v>
      </c>
      <c r="N4" s="131">
        <v>2020</v>
      </c>
      <c r="O4" s="131">
        <v>2030</v>
      </c>
      <c r="P4" s="113" t="s">
        <v>47</v>
      </c>
      <c r="Q4" s="113" t="s">
        <v>46</v>
      </c>
      <c r="R4" s="175" t="s">
        <v>47</v>
      </c>
      <c r="S4" s="175" t="s">
        <v>46</v>
      </c>
      <c r="T4" s="148" t="s">
        <v>45</v>
      </c>
      <c r="U4" s="148" t="s">
        <v>48</v>
      </c>
      <c r="V4" s="168" t="s">
        <v>45</v>
      </c>
      <c r="W4" s="168" t="s">
        <v>48</v>
      </c>
      <c r="X4" s="165" t="s">
        <v>53</v>
      </c>
      <c r="Y4" s="165" t="s">
        <v>256</v>
      </c>
      <c r="Z4" s="158" t="s">
        <v>53</v>
      </c>
      <c r="AA4" s="158" t="s">
        <v>256</v>
      </c>
      <c r="AB4" s="132" t="s">
        <v>72</v>
      </c>
      <c r="AC4" s="133" t="s">
        <v>73</v>
      </c>
      <c r="AD4" s="131"/>
      <c r="AE4" s="131"/>
      <c r="AF4" s="132" t="s">
        <v>74</v>
      </c>
    </row>
    <row r="5" spans="1:32" s="143" customFormat="1" ht="45" x14ac:dyDescent="0.25">
      <c r="A5" s="142" t="s">
        <v>165</v>
      </c>
      <c r="B5" s="142" t="s">
        <v>7</v>
      </c>
      <c r="C5" s="104" t="s">
        <v>271</v>
      </c>
      <c r="D5" s="143" t="s">
        <v>19</v>
      </c>
      <c r="F5" s="143" t="s">
        <v>199</v>
      </c>
      <c r="G5" s="143" t="s">
        <v>173</v>
      </c>
      <c r="L5" s="143" t="s">
        <v>8</v>
      </c>
      <c r="M5" s="143" t="s">
        <v>207</v>
      </c>
      <c r="N5" s="143">
        <v>0.59</v>
      </c>
      <c r="O5" s="143">
        <v>0.82</v>
      </c>
      <c r="P5" s="108">
        <f>IF($M5="MtCO2",N5*0.001,IF($M5="MTC",(N5*3.67)*0.001,N5))</f>
        <v>0.59</v>
      </c>
      <c r="Q5" s="108">
        <f>IF($M5="MtCO2",O5*0.001,IF($M5="MTC",(O5*3.67)*0.001,O5))</f>
        <v>0.82</v>
      </c>
      <c r="R5" s="176">
        <v>0.59</v>
      </c>
      <c r="S5" s="176">
        <v>0.82</v>
      </c>
      <c r="T5" s="147" t="str">
        <f t="shared" ref="T5:U5" si="0">IF($F5="Abatement_1",SUM(R4-R5),IF($F5="Abatement_1.1",SUM(R3-R5),IF($F5="Abatement1.11",SUM(38-R5),IF($F5="Abatement_2",SUM(R4-R5),IF($F5="Abatement_2.1",SUM(R3-R5),IF($F5="Abatement_2.11",SUM(R2-R5),IF($F5="Abatement_3",SUM(R4-R5),IF($F5="Abatement_3.1",SUM(R3-R5),IF($F5="Abatement_3.11",SUM(R2-R5),"")))))))))</f>
        <v/>
      </c>
      <c r="U5" s="147" t="str">
        <f t="shared" si="0"/>
        <v/>
      </c>
      <c r="V5" s="169" t="s">
        <v>258</v>
      </c>
      <c r="W5" s="169" t="s">
        <v>258</v>
      </c>
      <c r="X5" s="80" t="str">
        <f t="shared" ref="X5:X15" si="1">IF($K5="Added_2",SUM(V3+V5),IF($K5="Added_2.1",SUM(V4+V5),IF($K5="Added_3",SUM(V1:V5),IF($K5="Indo_UNFCCC_Exception",SUM($V$43+$V$44+$V$47+$V$48+$V$51+$V$52),IF($K5="Single Scenario",V5,IF($K5="Overlap",V4,""))))))</f>
        <v/>
      </c>
      <c r="Y5" s="80" t="str">
        <f t="shared" ref="Y5:Y15" si="2">IF($K5="Added_2",SUM(W3+W5),IF($K5="Added_2.1",SUM(W4+W5),IF($K5="Added_3",SUM(W1:W5),IF($K5="Indo_UNFCCC_Exception",SUM($W$49+W5),IF($K5="Single Scenario",W5,IF($K5="Overlap",W4,""))))))</f>
        <v/>
      </c>
      <c r="Z5" s="159" t="s">
        <v>258</v>
      </c>
      <c r="AA5" s="159" t="s">
        <v>258</v>
      </c>
      <c r="AB5" s="143">
        <v>2</v>
      </c>
      <c r="AC5" s="144" t="s">
        <v>84</v>
      </c>
      <c r="AF5" s="144"/>
    </row>
    <row r="6" spans="1:32" s="143" customFormat="1" ht="23.25" x14ac:dyDescent="0.25">
      <c r="A6" s="142" t="s">
        <v>142</v>
      </c>
      <c r="B6" s="142"/>
      <c r="C6" s="142"/>
      <c r="F6" s="143" t="s">
        <v>201</v>
      </c>
      <c r="G6" s="143" t="s">
        <v>175</v>
      </c>
      <c r="L6" s="143" t="s">
        <v>8</v>
      </c>
      <c r="M6" s="143" t="s">
        <v>207</v>
      </c>
      <c r="N6" s="143">
        <v>0.59</v>
      </c>
      <c r="O6" s="143">
        <v>0.55999999999999994</v>
      </c>
      <c r="P6" s="108">
        <f t="shared" ref="P6:P66" si="3">IF($M6="MtCO2",N6*0.001,IF($M6="MTC",(N6*3.67)*0.001,N6))</f>
        <v>0.59</v>
      </c>
      <c r="Q6" s="108">
        <f t="shared" ref="Q6:Q66" si="4">IF($M6="MtCO2",O6*0.001,IF($M6="MTC",(O6*3.67)*0.001,O6))</f>
        <v>0.55999999999999994</v>
      </c>
      <c r="R6" s="176">
        <v>0.59</v>
      </c>
      <c r="S6" s="176">
        <v>0.55999999999999994</v>
      </c>
      <c r="T6" s="147">
        <f t="shared" ref="T6:T66" si="5">IF($F6="Abatement_1",SUM(R5-R6),IF($F6="Abatement_1.1",SUM(R4-R6),IF($F6="Abatement1.11",SUM(38-R6),IF($F6="Abatement_2",SUM(R5-R6),IF($F6="Abatement_2.1",SUM(R4-R6),IF($F6="Abatement_2.11",SUM(R3-R6),IF($F6="Abatement_3",SUM(R5-R6),IF($F6="Abatement_3.1",SUM(R4-R6),IF($F6="Abatement_3.11",SUM(R3-R6),"")))))))))</f>
        <v>0</v>
      </c>
      <c r="U6" s="147">
        <f t="shared" ref="U6:U66" si="6">IF($F6="Abatement_1",SUM(S5-S6),IF($F6="Abatement_1.1",SUM(S4-S6),IF($F6="Abatement1.11",SUM(38-S6),IF($F6="Abatement_2",SUM(S5-S6),IF($F6="Abatement_2.1",SUM(S4-S6),IF($F6="Abatement_2.11",SUM(S3-S6),IF($F6="Abatement_3",SUM(S5-S6),IF($F6="Abatement_3.1",SUM(S4-S6),IF($F6="Abatement_3.11",SUM(S3-S6),"")))))))))</f>
        <v>0.26</v>
      </c>
      <c r="V6" s="169">
        <v>0</v>
      </c>
      <c r="W6" s="169">
        <v>0.26</v>
      </c>
      <c r="X6" s="80" t="str">
        <f t="shared" si="1"/>
        <v/>
      </c>
      <c r="Y6" s="80" t="str">
        <f t="shared" si="2"/>
        <v/>
      </c>
      <c r="Z6" s="159" t="s">
        <v>258</v>
      </c>
      <c r="AA6" s="159" t="s">
        <v>258</v>
      </c>
      <c r="AC6" s="144"/>
      <c r="AF6" s="144"/>
    </row>
    <row r="7" spans="1:32" s="143" customFormat="1" ht="23.25" x14ac:dyDescent="0.25">
      <c r="A7" s="142" t="s">
        <v>143</v>
      </c>
      <c r="B7" s="142"/>
      <c r="C7" s="142"/>
      <c r="F7" s="143" t="s">
        <v>200</v>
      </c>
      <c r="G7" s="143" t="s">
        <v>174</v>
      </c>
      <c r="L7" s="143" t="s">
        <v>8</v>
      </c>
      <c r="M7" s="143" t="s">
        <v>207</v>
      </c>
      <c r="N7" s="143">
        <v>1.2</v>
      </c>
      <c r="O7" s="143">
        <v>1.2</v>
      </c>
      <c r="P7" s="108">
        <f t="shared" si="3"/>
        <v>1.2</v>
      </c>
      <c r="Q7" s="108">
        <f t="shared" si="4"/>
        <v>1.2</v>
      </c>
      <c r="R7" s="176">
        <v>1.2</v>
      </c>
      <c r="S7" s="176">
        <v>1.2</v>
      </c>
      <c r="T7" s="147" t="str">
        <f t="shared" si="5"/>
        <v/>
      </c>
      <c r="U7" s="147" t="str">
        <f t="shared" si="6"/>
        <v/>
      </c>
      <c r="V7" s="169" t="s">
        <v>258</v>
      </c>
      <c r="W7" s="169" t="s">
        <v>258</v>
      </c>
      <c r="X7" s="80" t="str">
        <f t="shared" si="1"/>
        <v/>
      </c>
      <c r="Y7" s="80" t="str">
        <f t="shared" si="2"/>
        <v/>
      </c>
      <c r="Z7" s="159" t="s">
        <v>258</v>
      </c>
      <c r="AA7" s="159" t="s">
        <v>258</v>
      </c>
      <c r="AC7" s="144"/>
      <c r="AF7" s="144"/>
    </row>
    <row r="8" spans="1:32" s="143" customFormat="1" ht="23.25" x14ac:dyDescent="0.25">
      <c r="A8" s="142" t="s">
        <v>144</v>
      </c>
      <c r="B8" s="142"/>
      <c r="C8" s="142"/>
      <c r="F8" s="143" t="s">
        <v>202</v>
      </c>
      <c r="G8" s="143" t="s">
        <v>176</v>
      </c>
      <c r="K8" s="143" t="s">
        <v>211</v>
      </c>
      <c r="L8" s="143" t="s">
        <v>8</v>
      </c>
      <c r="M8" s="143" t="s">
        <v>207</v>
      </c>
      <c r="N8" s="143">
        <v>1.2</v>
      </c>
      <c r="O8" s="143">
        <v>-0.16000000000000014</v>
      </c>
      <c r="P8" s="108">
        <f t="shared" si="3"/>
        <v>1.2</v>
      </c>
      <c r="Q8" s="108">
        <f t="shared" si="4"/>
        <v>-0.16000000000000014</v>
      </c>
      <c r="R8" s="176">
        <v>1.2</v>
      </c>
      <c r="S8" s="176">
        <v>-0.16000000000000014</v>
      </c>
      <c r="T8" s="147">
        <f t="shared" si="5"/>
        <v>0</v>
      </c>
      <c r="U8" s="147">
        <f t="shared" si="6"/>
        <v>1.36</v>
      </c>
      <c r="V8" s="169">
        <v>0</v>
      </c>
      <c r="W8" s="169">
        <v>1.36</v>
      </c>
      <c r="X8" s="80">
        <f t="shared" si="1"/>
        <v>0</v>
      </c>
      <c r="Y8" s="80">
        <f t="shared" si="2"/>
        <v>1.62</v>
      </c>
      <c r="Z8" s="159">
        <v>0</v>
      </c>
      <c r="AA8" s="159">
        <v>1.62</v>
      </c>
      <c r="AC8" s="144"/>
      <c r="AF8" s="144"/>
    </row>
    <row r="9" spans="1:32" s="81" customFormat="1" ht="45" x14ac:dyDescent="0.25">
      <c r="A9" s="142" t="s">
        <v>145</v>
      </c>
      <c r="B9" s="131"/>
      <c r="C9" s="132" t="s">
        <v>275</v>
      </c>
      <c r="D9" s="135" t="s">
        <v>18</v>
      </c>
      <c r="E9" s="132"/>
      <c r="F9" s="132" t="s">
        <v>199</v>
      </c>
      <c r="G9" s="132" t="s">
        <v>177</v>
      </c>
      <c r="H9" s="132"/>
      <c r="I9" s="132"/>
      <c r="J9" s="132" t="s">
        <v>93</v>
      </c>
      <c r="K9" s="132"/>
      <c r="L9" s="132" t="s">
        <v>11</v>
      </c>
      <c r="M9" s="132" t="s">
        <v>26</v>
      </c>
      <c r="N9" s="132">
        <v>800</v>
      </c>
      <c r="O9" s="132">
        <v>895</v>
      </c>
      <c r="P9" s="108">
        <f t="shared" si="3"/>
        <v>0.8</v>
      </c>
      <c r="Q9" s="108">
        <f t="shared" si="4"/>
        <v>0.89500000000000002</v>
      </c>
      <c r="R9" s="177">
        <v>0.8</v>
      </c>
      <c r="S9" s="177">
        <v>0.89500000000000002</v>
      </c>
      <c r="T9" s="147" t="str">
        <f t="shared" si="5"/>
        <v/>
      </c>
      <c r="U9" s="147" t="str">
        <f t="shared" si="6"/>
        <v/>
      </c>
      <c r="V9" s="170" t="s">
        <v>258</v>
      </c>
      <c r="W9" s="170" t="s">
        <v>258</v>
      </c>
      <c r="X9" s="80" t="str">
        <f t="shared" si="1"/>
        <v/>
      </c>
      <c r="Y9" s="80" t="str">
        <f t="shared" si="2"/>
        <v/>
      </c>
      <c r="Z9" s="160" t="s">
        <v>258</v>
      </c>
      <c r="AA9" s="160" t="s">
        <v>258</v>
      </c>
      <c r="AB9" s="132">
        <v>2</v>
      </c>
      <c r="AC9" s="134" t="s">
        <v>94</v>
      </c>
      <c r="AD9" s="132"/>
      <c r="AE9" s="132"/>
      <c r="AF9" s="134"/>
    </row>
    <row r="10" spans="1:32" s="81" customFormat="1" ht="45" x14ac:dyDescent="0.25">
      <c r="A10" s="142" t="s">
        <v>146</v>
      </c>
      <c r="B10" s="131"/>
      <c r="C10" s="132"/>
      <c r="D10" s="132"/>
      <c r="E10" s="132" t="s">
        <v>95</v>
      </c>
      <c r="F10" s="132" t="s">
        <v>201</v>
      </c>
      <c r="G10" s="132" t="s">
        <v>178</v>
      </c>
      <c r="H10" s="132"/>
      <c r="I10" s="132"/>
      <c r="J10" s="132" t="s">
        <v>96</v>
      </c>
      <c r="K10" s="132" t="s">
        <v>257</v>
      </c>
      <c r="L10" s="132" t="s">
        <v>11</v>
      </c>
      <c r="M10" s="132" t="s">
        <v>26</v>
      </c>
      <c r="N10" s="132">
        <v>350</v>
      </c>
      <c r="O10" s="132">
        <v>321</v>
      </c>
      <c r="P10" s="108">
        <f t="shared" si="3"/>
        <v>0.35000000000000003</v>
      </c>
      <c r="Q10" s="108">
        <f t="shared" si="4"/>
        <v>0.32100000000000001</v>
      </c>
      <c r="R10" s="177">
        <v>0.35000000000000003</v>
      </c>
      <c r="S10" s="177">
        <v>0.32100000000000001</v>
      </c>
      <c r="T10" s="147">
        <f t="shared" si="5"/>
        <v>0.45</v>
      </c>
      <c r="U10" s="147">
        <f t="shared" si="6"/>
        <v>0.57400000000000007</v>
      </c>
      <c r="V10" s="170">
        <v>0.45</v>
      </c>
      <c r="W10" s="170">
        <v>0.57400000000000007</v>
      </c>
      <c r="X10" s="80">
        <f t="shared" si="1"/>
        <v>0.45</v>
      </c>
      <c r="Y10" s="80">
        <f t="shared" si="2"/>
        <v>0.57400000000000007</v>
      </c>
      <c r="Z10" s="160">
        <v>0.45</v>
      </c>
      <c r="AA10" s="160">
        <v>0.57400000000000007</v>
      </c>
      <c r="AB10" s="132"/>
      <c r="AC10" s="134"/>
      <c r="AD10" s="132"/>
      <c r="AE10" s="132"/>
      <c r="AF10" s="134"/>
    </row>
    <row r="11" spans="1:32" s="143" customFormat="1" ht="88.5" customHeight="1" x14ac:dyDescent="0.25">
      <c r="A11" s="142" t="s">
        <v>147</v>
      </c>
      <c r="B11" s="142"/>
      <c r="C11" s="104" t="s">
        <v>274</v>
      </c>
      <c r="D11" s="146" t="s">
        <v>21</v>
      </c>
      <c r="E11" s="104"/>
      <c r="F11" s="104" t="s">
        <v>199</v>
      </c>
      <c r="G11" s="104" t="s">
        <v>179</v>
      </c>
      <c r="H11" s="104"/>
      <c r="I11" s="104"/>
      <c r="J11" s="104"/>
      <c r="K11" s="104"/>
      <c r="L11" s="104" t="s">
        <v>9</v>
      </c>
      <c r="M11" s="104" t="s">
        <v>207</v>
      </c>
      <c r="N11" s="144">
        <v>0.33</v>
      </c>
      <c r="O11" s="144">
        <v>0.33</v>
      </c>
      <c r="P11" s="108">
        <f t="shared" si="3"/>
        <v>0.33</v>
      </c>
      <c r="Q11" s="108">
        <f t="shared" si="4"/>
        <v>0.33</v>
      </c>
      <c r="R11" s="178">
        <v>0.33</v>
      </c>
      <c r="S11" s="178">
        <v>0.33</v>
      </c>
      <c r="T11" s="147" t="str">
        <f t="shared" si="5"/>
        <v/>
      </c>
      <c r="U11" s="147" t="str">
        <f t="shared" si="6"/>
        <v/>
      </c>
      <c r="V11" s="171" t="s">
        <v>258</v>
      </c>
      <c r="W11" s="171" t="s">
        <v>258</v>
      </c>
      <c r="X11" s="80" t="str">
        <f t="shared" si="1"/>
        <v/>
      </c>
      <c r="Y11" s="80" t="str">
        <f t="shared" si="2"/>
        <v/>
      </c>
      <c r="Z11" s="161" t="s">
        <v>258</v>
      </c>
      <c r="AA11" s="161" t="s">
        <v>258</v>
      </c>
      <c r="AB11" s="144">
        <v>2</v>
      </c>
      <c r="AC11" s="144" t="s">
        <v>97</v>
      </c>
      <c r="AD11" s="145"/>
      <c r="AE11" s="104"/>
      <c r="AF11" s="145"/>
    </row>
    <row r="12" spans="1:32" s="143" customFormat="1" ht="23.25" x14ac:dyDescent="0.25">
      <c r="A12" s="142" t="s">
        <v>148</v>
      </c>
      <c r="B12" s="142"/>
      <c r="C12" s="104"/>
      <c r="D12" s="104"/>
      <c r="E12" s="104" t="s">
        <v>98</v>
      </c>
      <c r="F12" s="104" t="s">
        <v>201</v>
      </c>
      <c r="G12" s="104" t="s">
        <v>180</v>
      </c>
      <c r="H12" s="104"/>
      <c r="I12" s="104"/>
      <c r="J12" s="104" t="s">
        <v>99</v>
      </c>
      <c r="L12" s="104" t="s">
        <v>9</v>
      </c>
      <c r="M12" s="104" t="s">
        <v>207</v>
      </c>
      <c r="N12" s="143">
        <v>-8.666666666666667E-2</v>
      </c>
      <c r="O12" s="143">
        <v>-8.666666666666667E-2</v>
      </c>
      <c r="P12" s="108">
        <f t="shared" si="3"/>
        <v>-8.666666666666667E-2</v>
      </c>
      <c r="Q12" s="108">
        <f t="shared" si="4"/>
        <v>-8.666666666666667E-2</v>
      </c>
      <c r="R12" s="176">
        <v>-8.666666666666667E-2</v>
      </c>
      <c r="S12" s="176">
        <v>-8.666666666666667E-2</v>
      </c>
      <c r="T12" s="147">
        <f t="shared" si="5"/>
        <v>0.41666666666666669</v>
      </c>
      <c r="U12" s="147">
        <f t="shared" si="6"/>
        <v>0.41666666666666669</v>
      </c>
      <c r="V12" s="169">
        <v>0.41666666666666669</v>
      </c>
      <c r="W12" s="169">
        <v>0.41666666666666669</v>
      </c>
      <c r="X12" s="80" t="str">
        <f t="shared" si="1"/>
        <v/>
      </c>
      <c r="Y12" s="80" t="str">
        <f t="shared" si="2"/>
        <v/>
      </c>
      <c r="Z12" s="159" t="s">
        <v>258</v>
      </c>
      <c r="AA12" s="159" t="s">
        <v>258</v>
      </c>
      <c r="AC12" s="144"/>
      <c r="AD12" s="104"/>
      <c r="AE12" s="104"/>
      <c r="AF12" s="145"/>
    </row>
    <row r="13" spans="1:32" s="143" customFormat="1" ht="23.25" x14ac:dyDescent="0.25">
      <c r="A13" s="142" t="s">
        <v>149</v>
      </c>
      <c r="B13" s="142"/>
      <c r="F13" s="143" t="s">
        <v>203</v>
      </c>
      <c r="G13" s="143" t="s">
        <v>181</v>
      </c>
      <c r="J13" s="143" t="s">
        <v>100</v>
      </c>
      <c r="K13" s="143" t="s">
        <v>212</v>
      </c>
      <c r="L13" s="143" t="s">
        <v>9</v>
      </c>
      <c r="M13" s="104" t="s">
        <v>207</v>
      </c>
      <c r="N13" s="143">
        <v>0.27</v>
      </c>
      <c r="O13" s="143">
        <v>0.27</v>
      </c>
      <c r="P13" s="108">
        <f t="shared" si="3"/>
        <v>0.27</v>
      </c>
      <c r="Q13" s="108">
        <f t="shared" si="4"/>
        <v>0.27</v>
      </c>
      <c r="R13" s="176">
        <v>0.27</v>
      </c>
      <c r="S13" s="176">
        <v>0.27</v>
      </c>
      <c r="T13" s="147">
        <f t="shared" si="5"/>
        <v>0.06</v>
      </c>
      <c r="U13" s="147">
        <f t="shared" si="6"/>
        <v>0.06</v>
      </c>
      <c r="V13" s="169">
        <v>0.06</v>
      </c>
      <c r="W13" s="169">
        <v>0.06</v>
      </c>
      <c r="X13" s="80">
        <f t="shared" si="1"/>
        <v>0.47666666666666668</v>
      </c>
      <c r="Y13" s="80">
        <f t="shared" si="2"/>
        <v>0.47666666666666668</v>
      </c>
      <c r="Z13" s="159">
        <v>0.47666666666666668</v>
      </c>
      <c r="AA13" s="159">
        <v>0.47666666666666668</v>
      </c>
      <c r="AC13" s="144"/>
      <c r="AF13" s="144"/>
    </row>
    <row r="14" spans="1:32" s="81" customFormat="1" ht="60" x14ac:dyDescent="0.25">
      <c r="A14" s="142" t="s">
        <v>150</v>
      </c>
      <c r="B14" s="131"/>
      <c r="C14" s="85" t="s">
        <v>15</v>
      </c>
      <c r="D14" s="85" t="s">
        <v>20</v>
      </c>
      <c r="E14" s="85" t="s">
        <v>77</v>
      </c>
      <c r="F14" s="85" t="s">
        <v>199</v>
      </c>
      <c r="G14" s="85" t="s">
        <v>182</v>
      </c>
      <c r="H14" s="85"/>
      <c r="I14" s="85" t="s">
        <v>78</v>
      </c>
      <c r="J14" s="85" t="s">
        <v>79</v>
      </c>
      <c r="K14" s="85"/>
      <c r="L14" s="85" t="s">
        <v>8</v>
      </c>
      <c r="M14" s="104" t="s">
        <v>207</v>
      </c>
      <c r="N14" s="85">
        <v>-6.6612372500788469E-3</v>
      </c>
      <c r="O14" s="85">
        <v>-6.6612372500788469E-3</v>
      </c>
      <c r="P14" s="108">
        <f t="shared" si="3"/>
        <v>-6.6612372500788469E-3</v>
      </c>
      <c r="Q14" s="108">
        <f t="shared" si="4"/>
        <v>-6.6612372500788469E-3</v>
      </c>
      <c r="R14" s="176">
        <v>-6.6612372500788469E-3</v>
      </c>
      <c r="S14" s="176">
        <v>-6.6612372500788469E-3</v>
      </c>
      <c r="T14" s="147" t="str">
        <f t="shared" si="5"/>
        <v/>
      </c>
      <c r="U14" s="147" t="str">
        <f t="shared" si="6"/>
        <v/>
      </c>
      <c r="V14" s="169" t="s">
        <v>258</v>
      </c>
      <c r="W14" s="169" t="s">
        <v>258</v>
      </c>
      <c r="X14" s="80" t="str">
        <f t="shared" si="1"/>
        <v/>
      </c>
      <c r="Y14" s="80" t="str">
        <f t="shared" si="2"/>
        <v/>
      </c>
      <c r="Z14" s="159" t="s">
        <v>258</v>
      </c>
      <c r="AA14" s="159" t="s">
        <v>258</v>
      </c>
      <c r="AB14" s="85">
        <v>2</v>
      </c>
      <c r="AC14" s="103" t="s">
        <v>80</v>
      </c>
      <c r="AD14" s="85"/>
      <c r="AE14" s="85"/>
      <c r="AF14" s="103"/>
    </row>
    <row r="15" spans="1:32" s="81" customFormat="1" ht="45.75" customHeight="1" x14ac:dyDescent="0.25">
      <c r="A15" s="131" t="s">
        <v>171</v>
      </c>
      <c r="B15" s="131"/>
      <c r="C15" s="132"/>
      <c r="D15" s="132"/>
      <c r="E15" s="132"/>
      <c r="F15" s="132" t="s">
        <v>201</v>
      </c>
      <c r="G15" s="132" t="s">
        <v>183</v>
      </c>
      <c r="H15" s="132"/>
      <c r="I15" s="132"/>
      <c r="J15" s="132"/>
      <c r="K15" s="132" t="s">
        <v>257</v>
      </c>
      <c r="L15" s="132" t="s">
        <v>8</v>
      </c>
      <c r="M15" s="104" t="s">
        <v>207</v>
      </c>
      <c r="N15" s="132">
        <v>-0.26311887137811446</v>
      </c>
      <c r="O15" s="132">
        <v>-0.26311887137811446</v>
      </c>
      <c r="P15" s="108">
        <f t="shared" si="3"/>
        <v>-0.26311887137811446</v>
      </c>
      <c r="Q15" s="108">
        <f t="shared" si="4"/>
        <v>-0.26311887137811446</v>
      </c>
      <c r="R15" s="177">
        <v>-0.26311887137811446</v>
      </c>
      <c r="S15" s="177">
        <v>-0.26311887137811446</v>
      </c>
      <c r="T15" s="147">
        <f t="shared" si="5"/>
        <v>0.25645763412803563</v>
      </c>
      <c r="U15" s="147">
        <f t="shared" si="6"/>
        <v>0.25645763412803563</v>
      </c>
      <c r="V15" s="170">
        <v>0.25645763412803563</v>
      </c>
      <c r="W15" s="170">
        <v>0.25645763412803563</v>
      </c>
      <c r="X15" s="80">
        <f t="shared" si="1"/>
        <v>0.25645763412803563</v>
      </c>
      <c r="Y15" s="80">
        <f t="shared" si="2"/>
        <v>0.25645763412803563</v>
      </c>
      <c r="Z15" s="160">
        <v>0.25645763412803563</v>
      </c>
      <c r="AA15" s="160">
        <v>0.25645763412803563</v>
      </c>
      <c r="AB15" s="132"/>
      <c r="AC15" s="134"/>
      <c r="AD15" s="132"/>
      <c r="AE15" s="132"/>
      <c r="AF15" s="134"/>
    </row>
    <row r="16" spans="1:32" s="143" customFormat="1" ht="60" x14ac:dyDescent="0.25">
      <c r="A16" s="142" t="s">
        <v>161</v>
      </c>
      <c r="B16" s="142" t="s">
        <v>60</v>
      </c>
      <c r="C16" s="104" t="s">
        <v>63</v>
      </c>
      <c r="D16" s="146" t="s">
        <v>19</v>
      </c>
      <c r="F16" s="143" t="s">
        <v>199</v>
      </c>
      <c r="G16" s="143" t="s">
        <v>553</v>
      </c>
      <c r="L16" s="143" t="s">
        <v>64</v>
      </c>
      <c r="M16" s="104" t="s">
        <v>207</v>
      </c>
      <c r="N16" s="143">
        <v>0.8</v>
      </c>
      <c r="O16" s="143">
        <v>0.9</v>
      </c>
      <c r="P16" s="108">
        <f t="shared" si="3"/>
        <v>0.8</v>
      </c>
      <c r="Q16" s="108">
        <f t="shared" si="4"/>
        <v>0.9</v>
      </c>
      <c r="R16" s="108">
        <f t="shared" ref="R16:R17" si="7">IF($M16="MtCO2",P16*0.001,IF($M16="MTC",(P16*3.67)*0.001,P16))</f>
        <v>0.8</v>
      </c>
      <c r="S16" s="108">
        <f t="shared" ref="S16:S17" si="8">IF($M16="MtCO2",Q16*0.001,IF($M16="MTC",(Q16*3.67)*0.001,Q16))</f>
        <v>0.9</v>
      </c>
      <c r="T16" s="147" t="str">
        <f t="shared" si="5"/>
        <v/>
      </c>
      <c r="U16" s="147" t="str">
        <f t="shared" si="6"/>
        <v/>
      </c>
      <c r="V16" s="169" t="s">
        <v>258</v>
      </c>
      <c r="W16" s="169" t="s">
        <v>258</v>
      </c>
      <c r="X16" s="80" t="str">
        <f t="shared" ref="X16:X17" si="9">IF($K16="Added_2",SUM(V14+V16),IF($K16="Added_2.1",SUM(V15+V16),IF($K16="Added_3",SUM(V12:V16),IF($K16="Indo_UNFCCC_Exception",SUM($V$43+$V$44+$V$47+$V$48+$V$51+$V$52),IF($K16="Single Scenario",V16,IF($K16="Overlap",V15,""))))))</f>
        <v/>
      </c>
      <c r="Y16" s="80" t="str">
        <f t="shared" ref="Y16:Y17" si="10">IF($K16="Added_2",SUM(W14+W16),IF($K16="Added_2.1",SUM(W15+W16),IF($K16="Added_3",SUM(W12:W16),IF($K16="Indo_UNFCCC_Exception",SUM($W$49+W16),IF($K16="Single Scenario",W16,IF($K16="Overlap",W15,""))))))</f>
        <v/>
      </c>
      <c r="Z16" s="159" t="s">
        <v>258</v>
      </c>
      <c r="AA16" s="159" t="s">
        <v>258</v>
      </c>
      <c r="AB16" s="143">
        <v>2</v>
      </c>
      <c r="AC16" s="144" t="s">
        <v>81</v>
      </c>
      <c r="AF16" s="144"/>
    </row>
    <row r="17" spans="1:32" s="143" customFormat="1" ht="23.25" x14ac:dyDescent="0.25">
      <c r="A17" s="142" t="s">
        <v>126</v>
      </c>
      <c r="B17" s="142"/>
      <c r="C17" s="142"/>
      <c r="F17" s="143" t="s">
        <v>201</v>
      </c>
      <c r="G17" s="143" t="s">
        <v>554</v>
      </c>
      <c r="K17" s="143" t="s">
        <v>257</v>
      </c>
      <c r="L17" s="143" t="s">
        <v>64</v>
      </c>
      <c r="M17" s="104" t="s">
        <v>207</v>
      </c>
      <c r="N17" s="143" t="s">
        <v>249</v>
      </c>
      <c r="O17" s="143">
        <v>0.1</v>
      </c>
      <c r="P17" s="108" t="str">
        <f t="shared" si="3"/>
        <v>N/A</v>
      </c>
      <c r="Q17" s="108">
        <f t="shared" si="4"/>
        <v>0.1</v>
      </c>
      <c r="R17" s="108" t="str">
        <f t="shared" si="7"/>
        <v>N/A</v>
      </c>
      <c r="S17" s="108">
        <f t="shared" si="8"/>
        <v>0.1</v>
      </c>
      <c r="T17" s="147" t="s">
        <v>249</v>
      </c>
      <c r="U17" s="147">
        <f t="shared" si="6"/>
        <v>0.8</v>
      </c>
      <c r="V17" s="169" t="s">
        <v>249</v>
      </c>
      <c r="W17" s="169">
        <v>0.8</v>
      </c>
      <c r="X17" s="80" t="str">
        <f t="shared" si="9"/>
        <v>N/A</v>
      </c>
      <c r="Y17" s="80">
        <f t="shared" si="10"/>
        <v>0.8</v>
      </c>
      <c r="Z17" s="159" t="s">
        <v>249</v>
      </c>
      <c r="AA17" s="159">
        <v>0.8</v>
      </c>
      <c r="AC17" s="144"/>
      <c r="AF17" s="144"/>
    </row>
    <row r="18" spans="1:32" s="81" customFormat="1" ht="60" x14ac:dyDescent="0.25">
      <c r="A18" s="142" t="s">
        <v>127</v>
      </c>
      <c r="B18" s="131"/>
      <c r="C18" s="85" t="s">
        <v>15</v>
      </c>
      <c r="D18" s="85" t="s">
        <v>20</v>
      </c>
      <c r="E18" s="85" t="s">
        <v>77</v>
      </c>
      <c r="F18" s="85" t="s">
        <v>199</v>
      </c>
      <c r="G18" s="85" t="s">
        <v>182</v>
      </c>
      <c r="H18" s="85"/>
      <c r="I18" s="85" t="s">
        <v>78</v>
      </c>
      <c r="J18" s="85" t="s">
        <v>79</v>
      </c>
      <c r="K18" s="85"/>
      <c r="L18" s="85" t="s">
        <v>8</v>
      </c>
      <c r="M18" s="104" t="s">
        <v>207</v>
      </c>
      <c r="N18" s="85">
        <v>0.47609189762448167</v>
      </c>
      <c r="O18" s="85">
        <v>0.47609189762448167</v>
      </c>
      <c r="P18" s="108">
        <f t="shared" si="3"/>
        <v>0.47609189762448167</v>
      </c>
      <c r="Q18" s="108">
        <f t="shared" si="4"/>
        <v>0.47609189762448167</v>
      </c>
      <c r="R18" s="176" t="s">
        <v>210</v>
      </c>
      <c r="S18" s="176">
        <v>0.47609189762448167</v>
      </c>
      <c r="T18" s="147" t="str">
        <f>IF($F18="Abatement_1",SUM(#REF!-R18),IF($F18="Abatement_1.1",SUM(#REF!-R18),IF($F18="Abatement1.11",SUM(38-R18),IF($F18="Abatement_2",SUM(#REF!-R18),IF($F18="Abatement_2.1",SUM(#REF!-R18),IF($F18="Abatement_2.11",SUM(R17-R18),IF($F18="Abatement_3",SUM(#REF!-R18),IF($F18="Abatement_3.1",SUM(#REF!-R18),IF($F18="Abatement_3.11",SUM(R17-R18),"")))))))))</f>
        <v/>
      </c>
      <c r="U18" s="147" t="str">
        <f>IF($F18="Abatement_1",SUM(#REF!-S18),IF($F18="Abatement_1.1",SUM(#REF!-S18),IF($F18="Abatement1.11",SUM(38-S18),IF($F18="Abatement_2",SUM(#REF!-S18),IF($F18="Abatement_2.1",SUM(#REF!-S18),IF($F18="Abatement_2.11",SUM(S17-S18),IF($F18="Abatement_3",SUM(#REF!-S18),IF($F18="Abatement_3.1",SUM(#REF!-S18),IF($F18="Abatement_3.11",SUM(S17-S18),"")))))))))</f>
        <v/>
      </c>
      <c r="V18" s="169" t="s">
        <v>258</v>
      </c>
      <c r="W18" s="169" t="s">
        <v>258</v>
      </c>
      <c r="X18" s="80" t="str">
        <f>IF($K18="Added_2",SUM(#REF!+V18),IF($K18="Added_2.1",SUM(#REF!+V18),IF($K18="Added_3",SUM(V16:V18),IF($K18="Indo_UNFCCC_Exception",SUM($V$43+$V$44+$V$47+$V$48+$V$51+$V$52),IF($K18="Single Scenario",V18,IF($K18="Overlap",#REF!,""))))))</f>
        <v/>
      </c>
      <c r="Y18" s="80" t="str">
        <f>IF($K18="Added_2",SUM(#REF!+W18),IF($K18="Added_2.1",SUM(#REF!+W18),IF($K18="Added_3",SUM(W16:W18),IF($K18="Indo_UNFCCC_Exception",SUM($W$49+W18),IF($K18="Single Scenario",W18,IF($K18="Overlap",#REF!,""))))))</f>
        <v/>
      </c>
      <c r="Z18" s="159" t="s">
        <v>258</v>
      </c>
      <c r="AA18" s="159" t="s">
        <v>258</v>
      </c>
      <c r="AB18" s="85">
        <v>2</v>
      </c>
      <c r="AC18" s="103" t="s">
        <v>80</v>
      </c>
      <c r="AD18" s="85"/>
      <c r="AE18" s="85"/>
      <c r="AF18" s="103"/>
    </row>
    <row r="19" spans="1:32" s="81" customFormat="1" ht="30" x14ac:dyDescent="0.25">
      <c r="A19" s="142" t="s">
        <v>128</v>
      </c>
      <c r="B19" s="131"/>
      <c r="C19" s="85"/>
      <c r="D19" s="85"/>
      <c r="E19" s="85"/>
      <c r="F19" s="85" t="s">
        <v>201</v>
      </c>
      <c r="G19" s="132" t="s">
        <v>183</v>
      </c>
      <c r="H19" s="85"/>
      <c r="I19" s="85"/>
      <c r="J19" s="85"/>
      <c r="K19" s="132" t="s">
        <v>257</v>
      </c>
      <c r="L19" s="85" t="s">
        <v>8</v>
      </c>
      <c r="M19" s="104" t="s">
        <v>207</v>
      </c>
      <c r="N19" s="85">
        <v>-0.69713456437870525</v>
      </c>
      <c r="O19" s="85">
        <v>-0.69713456437870525</v>
      </c>
      <c r="P19" s="108">
        <f t="shared" si="3"/>
        <v>-0.69713456437870525</v>
      </c>
      <c r="Q19" s="108">
        <f t="shared" si="4"/>
        <v>-0.69713456437870525</v>
      </c>
      <c r="R19" s="176">
        <v>-0.69713456437870525</v>
      </c>
      <c r="S19" s="176">
        <v>-0.69713456437870525</v>
      </c>
      <c r="T19" s="147" t="e">
        <f>IF($F19="Abatement_1",SUM(R18-R19),IF($F19="Abatement_1.1",SUM(#REF!-R19),IF($F19="Abatement1.11",SUM(38-R19),IF($F19="Abatement_2",SUM(R18-R19),IF($F19="Abatement_2.1",SUM(#REF!-R19),IF($F19="Abatement_2.11",SUM(#REF!-R19),IF($F19="Abatement_3",SUM(R18-R19),IF($F19="Abatement_3.1",SUM(#REF!-R19),IF($F19="Abatement_3.11",SUM(#REF!-R19),"")))))))))</f>
        <v>#VALUE!</v>
      </c>
      <c r="U19" s="147">
        <f>IF($F19="Abatement_1",SUM(S18-S19),IF($F19="Abatement_1.1",SUM(#REF!-S19),IF($F19="Abatement1.11",SUM(38-S19),IF($F19="Abatement_2",SUM(S18-S19),IF($F19="Abatement_2.1",SUM(#REF!-S19),IF($F19="Abatement_2.11",SUM(#REF!-S19),IF($F19="Abatement_3",SUM(S18-S19),IF($F19="Abatement_3.1",SUM(#REF!-S19),IF($F19="Abatement_3.11",SUM(#REF!-S19),"")))))))))</f>
        <v>1.1732264620031869</v>
      </c>
      <c r="V19" s="169">
        <v>1.1732264620031869</v>
      </c>
      <c r="W19" s="169">
        <v>1.1732264620031869</v>
      </c>
      <c r="X19" s="80">
        <f>IF($K19="Added_2",SUM(#REF!+V19),IF($K19="Added_2.1",SUM(V18+V19),IF($K19="Added_3",SUM(V17:V19),IF($K19="Indo_UNFCCC_Exception",SUM($V$43+$V$44+$V$47+$V$48+$V$51+$V$52),IF($K19="Single Scenario",V19,IF($K19="Overlap",V18,""))))))</f>
        <v>1.1732264620031869</v>
      </c>
      <c r="Y19" s="80">
        <f>IF($K19="Added_2",SUM(#REF!+W19),IF($K19="Added_2.1",SUM(W18+W19),IF($K19="Added_3",SUM(W17:W19),IF($K19="Indo_UNFCCC_Exception",SUM($W$49+W19),IF($K19="Single Scenario",W19,IF($K19="Overlap",W18,""))))))</f>
        <v>1.1732264620031869</v>
      </c>
      <c r="Z19" s="159">
        <v>1.1732264620031869</v>
      </c>
      <c r="AA19" s="159">
        <v>1.1732264620031869</v>
      </c>
      <c r="AB19" s="85"/>
      <c r="AC19" s="103"/>
      <c r="AD19" s="85"/>
      <c r="AE19" s="85"/>
      <c r="AF19" s="103"/>
    </row>
    <row r="20" spans="1:32" s="143" customFormat="1" ht="46.5" x14ac:dyDescent="0.25">
      <c r="A20" s="142" t="s">
        <v>167</v>
      </c>
      <c r="B20" s="142" t="s">
        <v>66</v>
      </c>
      <c r="C20" s="143" t="s">
        <v>67</v>
      </c>
      <c r="D20" s="146" t="s">
        <v>68</v>
      </c>
      <c r="E20" s="143" t="s">
        <v>117</v>
      </c>
      <c r="F20" s="143" t="s">
        <v>199</v>
      </c>
      <c r="G20" s="143" t="s">
        <v>260</v>
      </c>
      <c r="K20" s="104"/>
      <c r="L20" s="143" t="s">
        <v>11</v>
      </c>
      <c r="M20" s="104" t="s">
        <v>26</v>
      </c>
      <c r="N20" s="143">
        <v>738.33</v>
      </c>
      <c r="O20" s="143">
        <v>940</v>
      </c>
      <c r="P20" s="108">
        <f t="shared" si="3"/>
        <v>0.73833000000000004</v>
      </c>
      <c r="Q20" s="108">
        <f t="shared" si="4"/>
        <v>0.94000000000000006</v>
      </c>
      <c r="R20" s="143">
        <v>0.73833000000000004</v>
      </c>
      <c r="S20" s="143">
        <v>0.94000000000000006</v>
      </c>
      <c r="T20" s="147" t="str">
        <f>IF($F20="Abatement_1",SUM(R19-R20),IF($F20="Abatement_1.1",SUM(R18-R20),IF($F20="Abatement1.11",SUM(38-R20),IF($F20="Abatement_2",SUM(R19-R20),IF($F20="Abatement_2.1",SUM(R18-R20),IF($F20="Abatement_2.11",SUM(#REF!-R20),IF($F20="Abatement_3",SUM(R19-R20),IF($F20="Abatement_3.1",SUM(R18-R20),IF($F20="Abatement_3.11",SUM(#REF!-R20),"")))))))))</f>
        <v/>
      </c>
      <c r="U20" s="147" t="str">
        <f>IF($F20="Abatement_1",SUM(S19-S20),IF($F20="Abatement_1.1",SUM(S18-S20),IF($F20="Abatement1.11",SUM(38-S20),IF($F20="Abatement_2",SUM(S19-S20),IF($F20="Abatement_2.1",SUM(S18-S20),IF($F20="Abatement_2.11",SUM(#REF!-S20),IF($F20="Abatement_3",SUM(S19-S20),IF($F20="Abatement_3.1",SUM(S18-S20),IF($F20="Abatement_3.11",SUM(#REF!-S20),"")))))))))</f>
        <v/>
      </c>
      <c r="V20" s="143" t="s">
        <v>258</v>
      </c>
      <c r="W20" s="143" t="s">
        <v>258</v>
      </c>
      <c r="X20" s="80" t="str">
        <f>IF($K20="Added_2",SUM(V18+V20),IF($K20="Added_2.1",SUM(V19+V20),IF($K20="Added_3",SUM(V18:V20),IF($K20="Indo_UNFCCC_Exception",SUM($V$43+$V$44+$V$47+$V$48+$V$51+$V$52),IF($K20="Single Scenario",V20,IF($K20="Overlap",V19,""))))))</f>
        <v/>
      </c>
      <c r="Y20" s="80" t="str">
        <f>IF($K20="Added_2",SUM(W18+W20),IF($K20="Added_2.1",SUM(W19+W20),IF($K20="Added_3",SUM(W18:W20),IF($K20="Indo_UNFCCC_Exception",SUM($W$49+W20),IF($K20="Single Scenario",W20,IF($K20="Overlap",W19,""))))))</f>
        <v/>
      </c>
      <c r="Z20" s="143" t="s">
        <v>258</v>
      </c>
      <c r="AA20" s="143" t="s">
        <v>258</v>
      </c>
      <c r="AC20" s="144" t="s">
        <v>277</v>
      </c>
      <c r="AF20" s="144"/>
    </row>
    <row r="21" spans="1:32" s="143" customFormat="1" ht="46.5" x14ac:dyDescent="0.25">
      <c r="A21" s="142" t="s">
        <v>160</v>
      </c>
      <c r="F21" s="143" t="s">
        <v>201</v>
      </c>
      <c r="G21" s="143" t="s">
        <v>262</v>
      </c>
      <c r="K21" s="104"/>
      <c r="L21" s="143" t="s">
        <v>11</v>
      </c>
      <c r="M21" s="104" t="s">
        <v>26</v>
      </c>
      <c r="N21" s="143">
        <v>729.42899999999997</v>
      </c>
      <c r="O21" s="143">
        <v>931.09500000000003</v>
      </c>
      <c r="P21" s="108">
        <f t="shared" si="3"/>
        <v>0.72942899999999999</v>
      </c>
      <c r="Q21" s="108">
        <f t="shared" si="4"/>
        <v>0.93109500000000001</v>
      </c>
      <c r="R21" s="143">
        <v>0.72942899999999999</v>
      </c>
      <c r="S21" s="143">
        <v>0.93109500000000001</v>
      </c>
      <c r="T21" s="147">
        <f t="shared" si="5"/>
        <v>8.9010000000000478E-3</v>
      </c>
      <c r="U21" s="147">
        <f t="shared" si="6"/>
        <v>8.9050000000000518E-3</v>
      </c>
      <c r="V21" s="143">
        <v>8.9010000000000478E-3</v>
      </c>
      <c r="W21" s="143">
        <v>8.9050000000000518E-3</v>
      </c>
      <c r="X21" s="80" t="str">
        <f>IF($K21="Added_2",SUM(V19+V21),IF($K21="Added_2.1",SUM(V20+V21),IF($K21="Added_3",SUM(V18:V21),IF($K21="Indo_UNFCCC_Exception",SUM($V$43+$V$44+$V$47+$V$48+$V$51+$V$52),IF($K21="Single Scenario",V21,IF($K21="Overlap",V20,""))))))</f>
        <v/>
      </c>
      <c r="Y21" s="80" t="str">
        <f>IF($K21="Added_2",SUM(W19+W21),IF($K21="Added_2.1",SUM(W20+W21),IF($K21="Added_3",SUM(W18:W21),IF($K21="Indo_UNFCCC_Exception",SUM($W$49+W21),IF($K21="Single Scenario",W21,IF($K21="Overlap",W20,""))))))</f>
        <v/>
      </c>
      <c r="Z21" s="143" t="s">
        <v>258</v>
      </c>
      <c r="AA21" s="143" t="s">
        <v>258</v>
      </c>
      <c r="AC21" s="144" t="s">
        <v>278</v>
      </c>
      <c r="AF21" s="144"/>
    </row>
    <row r="22" spans="1:32" s="143" customFormat="1" ht="46.5" x14ac:dyDescent="0.25">
      <c r="A22" s="142" t="s">
        <v>168</v>
      </c>
      <c r="B22" s="142"/>
      <c r="F22" s="143" t="s">
        <v>200</v>
      </c>
      <c r="G22" s="104" t="s">
        <v>264</v>
      </c>
      <c r="K22" s="104"/>
      <c r="L22" s="143" t="s">
        <v>11</v>
      </c>
      <c r="M22" s="104" t="s">
        <v>26</v>
      </c>
      <c r="N22" s="143">
        <v>1720.83</v>
      </c>
      <c r="O22" s="143">
        <v>300</v>
      </c>
      <c r="P22" s="108">
        <f t="shared" si="3"/>
        <v>1.7208299999999999</v>
      </c>
      <c r="Q22" s="108">
        <f t="shared" si="4"/>
        <v>0.3</v>
      </c>
      <c r="R22" s="143">
        <v>1.7208299999999999</v>
      </c>
      <c r="S22" s="143">
        <v>0.3</v>
      </c>
      <c r="T22" s="147" t="str">
        <f t="shared" si="5"/>
        <v/>
      </c>
      <c r="U22" s="147" t="str">
        <f t="shared" si="6"/>
        <v/>
      </c>
      <c r="V22" s="143" t="s">
        <v>258</v>
      </c>
      <c r="W22" s="143" t="s">
        <v>258</v>
      </c>
      <c r="X22" s="80" t="str">
        <f t="shared" ref="X22:X67" si="11">IF($K22="Added_2",SUM(V20+V22),IF($K22="Added_2.1",SUM(V21+V22),IF($K22="Added_3",SUM(V18:V22),IF($K22="Indo_UNFCCC_Exception",SUM($V$43+$V$44+$V$47+$V$48+$V$51+$V$52),IF($K22="Single Scenario",V22,IF($K22="Overlap",V21,""))))))</f>
        <v/>
      </c>
      <c r="Y22" s="80" t="str">
        <f t="shared" ref="Y22:Y67" si="12">IF($K22="Added_2",SUM(W20+W22),IF($K22="Added_2.1",SUM(W21+W22),IF($K22="Added_3",SUM(W18:W22),IF($K22="Indo_UNFCCC_Exception",SUM($W$49+W22),IF($K22="Single Scenario",W22,IF($K22="Overlap",W21,""))))))</f>
        <v/>
      </c>
      <c r="Z22" s="143" t="s">
        <v>258</v>
      </c>
      <c r="AA22" s="143" t="s">
        <v>258</v>
      </c>
      <c r="AC22" s="144"/>
      <c r="AF22" s="144"/>
    </row>
    <row r="23" spans="1:32" s="143" customFormat="1" ht="46.5" x14ac:dyDescent="0.25">
      <c r="A23" s="142" t="s">
        <v>169</v>
      </c>
      <c r="F23" s="143" t="s">
        <v>202</v>
      </c>
      <c r="G23" s="143" t="s">
        <v>263</v>
      </c>
      <c r="L23" s="143" t="s">
        <v>11</v>
      </c>
      <c r="M23" s="104" t="s">
        <v>26</v>
      </c>
      <c r="N23" s="143">
        <v>1712.095</v>
      </c>
      <c r="O23" s="143">
        <v>291.262</v>
      </c>
      <c r="P23" s="108">
        <f t="shared" si="3"/>
        <v>1.7120950000000001</v>
      </c>
      <c r="Q23" s="108">
        <f t="shared" si="4"/>
        <v>0.29126200000000002</v>
      </c>
      <c r="R23" s="143">
        <v>1.7120950000000001</v>
      </c>
      <c r="S23" s="143">
        <v>0.29126200000000002</v>
      </c>
      <c r="T23" s="147">
        <f t="shared" si="5"/>
        <v>8.7349999999997152E-3</v>
      </c>
      <c r="U23" s="147">
        <f t="shared" si="6"/>
        <v>8.737999999999968E-3</v>
      </c>
      <c r="V23" s="143">
        <v>8.7349999999997152E-3</v>
      </c>
      <c r="W23" s="143">
        <v>8.737999999999968E-3</v>
      </c>
      <c r="X23" s="80" t="str">
        <f t="shared" si="11"/>
        <v/>
      </c>
      <c r="Y23" s="80" t="str">
        <f t="shared" si="12"/>
        <v/>
      </c>
      <c r="Z23" s="143" t="s">
        <v>258</v>
      </c>
      <c r="AA23" s="143" t="s">
        <v>258</v>
      </c>
      <c r="AB23" s="143">
        <v>2</v>
      </c>
      <c r="AC23" s="144" t="s">
        <v>119</v>
      </c>
      <c r="AF23" s="144"/>
    </row>
    <row r="24" spans="1:32" s="143" customFormat="1" ht="46.5" x14ac:dyDescent="0.25">
      <c r="A24" s="142" t="s">
        <v>170</v>
      </c>
      <c r="B24" s="142"/>
      <c r="F24" s="143" t="s">
        <v>230</v>
      </c>
      <c r="G24" s="143" t="s">
        <v>265</v>
      </c>
      <c r="L24" s="143" t="s">
        <v>11</v>
      </c>
      <c r="M24" s="104" t="s">
        <v>26</v>
      </c>
      <c r="N24" s="143">
        <v>1140.625</v>
      </c>
      <c r="O24" s="143">
        <v>625</v>
      </c>
      <c r="P24" s="108">
        <f t="shared" si="3"/>
        <v>1.140625</v>
      </c>
      <c r="Q24" s="108">
        <f t="shared" si="4"/>
        <v>0.625</v>
      </c>
      <c r="R24" s="143">
        <v>1.140625</v>
      </c>
      <c r="S24" s="143">
        <v>0.625</v>
      </c>
      <c r="T24" s="147" t="str">
        <f t="shared" si="5"/>
        <v/>
      </c>
      <c r="U24" s="147" t="str">
        <f t="shared" si="6"/>
        <v/>
      </c>
      <c r="V24" s="143" t="s">
        <v>258</v>
      </c>
      <c r="W24" s="143" t="s">
        <v>258</v>
      </c>
      <c r="X24" s="80" t="str">
        <f t="shared" si="11"/>
        <v/>
      </c>
      <c r="Y24" s="80" t="str">
        <f t="shared" si="12"/>
        <v/>
      </c>
      <c r="Z24" s="143" t="s">
        <v>258</v>
      </c>
      <c r="AA24" s="143" t="s">
        <v>258</v>
      </c>
      <c r="AC24" s="144"/>
      <c r="AF24" s="144"/>
    </row>
    <row r="25" spans="1:32" s="143" customFormat="1" ht="46.5" x14ac:dyDescent="0.25">
      <c r="A25" s="142" t="s">
        <v>267</v>
      </c>
      <c r="B25" s="142"/>
      <c r="F25" s="143" t="s">
        <v>235</v>
      </c>
      <c r="G25" s="143" t="s">
        <v>266</v>
      </c>
      <c r="K25" s="143" t="s">
        <v>270</v>
      </c>
      <c r="L25" s="143" t="s">
        <v>11</v>
      </c>
      <c r="M25" s="104" t="s">
        <v>26</v>
      </c>
      <c r="N25" s="144">
        <v>1138.1488099999999</v>
      </c>
      <c r="O25" s="144">
        <v>622.524</v>
      </c>
      <c r="P25" s="108">
        <f t="shared" si="3"/>
        <v>1.1381488099999999</v>
      </c>
      <c r="Q25" s="108">
        <f t="shared" si="4"/>
        <v>0.62252399999999997</v>
      </c>
      <c r="R25" s="144">
        <v>1.1381488099999999</v>
      </c>
      <c r="S25" s="144">
        <v>0.62252399999999997</v>
      </c>
      <c r="T25" s="147">
        <f t="shared" si="5"/>
        <v>2.4761900000001003E-3</v>
      </c>
      <c r="U25" s="147">
        <f t="shared" si="6"/>
        <v>2.4760000000000337E-3</v>
      </c>
      <c r="V25" s="144">
        <v>2.4761900000001003E-3</v>
      </c>
      <c r="W25" s="144">
        <v>2.4760000000000337E-3</v>
      </c>
      <c r="X25" s="80">
        <f t="shared" si="11"/>
        <v>2.0112189999999863E-2</v>
      </c>
      <c r="Y25" s="80">
        <f t="shared" si="12"/>
        <v>2.0119000000000054E-2</v>
      </c>
      <c r="Z25" s="144">
        <v>2.0112189999999863E-2</v>
      </c>
      <c r="AA25" s="144">
        <v>2.0119000000000054E-2</v>
      </c>
      <c r="AB25" s="144"/>
      <c r="AC25" s="144"/>
      <c r="AD25" s="144"/>
      <c r="AF25" s="144"/>
    </row>
    <row r="26" spans="1:32" s="81" customFormat="1" ht="60" x14ac:dyDescent="0.25">
      <c r="A26" s="142" t="s">
        <v>268</v>
      </c>
      <c r="B26" s="131"/>
      <c r="C26" s="85" t="s">
        <v>15</v>
      </c>
      <c r="D26" s="85" t="s">
        <v>20</v>
      </c>
      <c r="E26" s="85" t="s">
        <v>77</v>
      </c>
      <c r="F26" s="85" t="s">
        <v>199</v>
      </c>
      <c r="G26" s="85" t="s">
        <v>182</v>
      </c>
      <c r="H26" s="85"/>
      <c r="I26" s="85" t="s">
        <v>78</v>
      </c>
      <c r="J26" s="85" t="s">
        <v>79</v>
      </c>
      <c r="K26" s="85"/>
      <c r="L26" s="85" t="s">
        <v>8</v>
      </c>
      <c r="M26" s="143" t="s">
        <v>207</v>
      </c>
      <c r="N26" s="85">
        <v>2.6989724713283772E-2</v>
      </c>
      <c r="O26" s="85">
        <v>2.6989724713283772E-2</v>
      </c>
      <c r="P26" s="108">
        <f t="shared" si="3"/>
        <v>2.6989724713283772E-2</v>
      </c>
      <c r="Q26" s="108">
        <f t="shared" si="4"/>
        <v>2.6989724713283772E-2</v>
      </c>
      <c r="R26" s="176">
        <v>2.6989724713283772E-2</v>
      </c>
      <c r="S26" s="176">
        <v>2.6989724713283772E-2</v>
      </c>
      <c r="T26" s="147" t="str">
        <f t="shared" si="5"/>
        <v/>
      </c>
      <c r="U26" s="147" t="str">
        <f t="shared" si="6"/>
        <v/>
      </c>
      <c r="V26" s="169" t="s">
        <v>258</v>
      </c>
      <c r="W26" s="169" t="s">
        <v>258</v>
      </c>
      <c r="X26" s="80" t="str">
        <f t="shared" si="11"/>
        <v/>
      </c>
      <c r="Y26" s="80" t="str">
        <f t="shared" si="12"/>
        <v/>
      </c>
      <c r="Z26" s="159" t="s">
        <v>258</v>
      </c>
      <c r="AA26" s="159" t="s">
        <v>258</v>
      </c>
      <c r="AB26" s="85">
        <v>2</v>
      </c>
      <c r="AC26" s="103" t="s">
        <v>80</v>
      </c>
      <c r="AD26" s="85"/>
      <c r="AE26" s="85"/>
      <c r="AF26" s="103"/>
    </row>
    <row r="27" spans="1:32" s="81" customFormat="1" ht="46.5" x14ac:dyDescent="0.25">
      <c r="A27" s="142" t="s">
        <v>269</v>
      </c>
      <c r="B27" s="85"/>
      <c r="C27" s="85"/>
      <c r="D27" s="85"/>
      <c r="E27" s="85"/>
      <c r="F27" s="85" t="s">
        <v>201</v>
      </c>
      <c r="G27" s="132" t="s">
        <v>183</v>
      </c>
      <c r="H27" s="85"/>
      <c r="I27" s="85"/>
      <c r="J27" s="85"/>
      <c r="K27" s="132" t="s">
        <v>257</v>
      </c>
      <c r="L27" s="85" t="s">
        <v>8</v>
      </c>
      <c r="M27" s="143" t="s">
        <v>207</v>
      </c>
      <c r="N27" s="85">
        <v>5.8119466196746763E-3</v>
      </c>
      <c r="O27" s="85">
        <v>5.8119466196746763E-3</v>
      </c>
      <c r="P27" s="108">
        <f t="shared" si="3"/>
        <v>5.8119466196746763E-3</v>
      </c>
      <c r="Q27" s="108">
        <f t="shared" si="4"/>
        <v>5.8119466196746763E-3</v>
      </c>
      <c r="R27" s="176">
        <v>5.8119466196746763E-3</v>
      </c>
      <c r="S27" s="176">
        <v>5.8119466196746763E-3</v>
      </c>
      <c r="T27" s="147">
        <f t="shared" si="5"/>
        <v>2.1177778093609094E-2</v>
      </c>
      <c r="U27" s="147">
        <f t="shared" si="6"/>
        <v>2.1177778093609094E-2</v>
      </c>
      <c r="V27" s="169">
        <v>2.1177778093609094E-2</v>
      </c>
      <c r="W27" s="169">
        <v>2.1177778093609094E-2</v>
      </c>
      <c r="X27" s="80">
        <f t="shared" si="11"/>
        <v>2.1177778093609094E-2</v>
      </c>
      <c r="Y27" s="80">
        <f t="shared" si="12"/>
        <v>2.1177778093609094E-2</v>
      </c>
      <c r="Z27" s="159">
        <v>2.1177778093609094E-2</v>
      </c>
      <c r="AA27" s="159">
        <v>2.1177778093609094E-2</v>
      </c>
      <c r="AB27" s="85"/>
      <c r="AC27" s="103"/>
      <c r="AD27" s="85"/>
      <c r="AE27" s="85"/>
      <c r="AF27" s="103"/>
    </row>
    <row r="28" spans="1:32" s="143" customFormat="1" ht="60" x14ac:dyDescent="0.25">
      <c r="A28" s="142" t="s">
        <v>163</v>
      </c>
      <c r="B28" s="142" t="s">
        <v>6</v>
      </c>
      <c r="C28" s="104" t="s">
        <v>17</v>
      </c>
      <c r="D28" s="143" t="s">
        <v>25</v>
      </c>
      <c r="F28" s="143" t="s">
        <v>199</v>
      </c>
      <c r="G28" s="143" t="s">
        <v>184</v>
      </c>
      <c r="J28" s="143" t="s">
        <v>86</v>
      </c>
      <c r="K28" s="143" t="s">
        <v>27</v>
      </c>
      <c r="L28" s="143" t="s">
        <v>11</v>
      </c>
      <c r="M28" s="143" t="s">
        <v>26</v>
      </c>
      <c r="N28" s="143">
        <v>487</v>
      </c>
      <c r="O28" s="143">
        <v>487</v>
      </c>
      <c r="P28" s="108">
        <f t="shared" si="3"/>
        <v>0.48699999999999999</v>
      </c>
      <c r="Q28" s="108">
        <f t="shared" si="4"/>
        <v>0.48699999999999999</v>
      </c>
      <c r="R28" s="176">
        <v>0.48699999999999999</v>
      </c>
      <c r="S28" s="176">
        <v>0.48699999999999999</v>
      </c>
      <c r="T28" s="147" t="str">
        <f t="shared" si="5"/>
        <v/>
      </c>
      <c r="U28" s="147" t="str">
        <f t="shared" si="6"/>
        <v/>
      </c>
      <c r="V28" s="169" t="s">
        <v>258</v>
      </c>
      <c r="W28" s="169" t="s">
        <v>258</v>
      </c>
      <c r="X28" s="80" t="str">
        <f t="shared" si="11"/>
        <v/>
      </c>
      <c r="Y28" s="80" t="str">
        <f t="shared" si="12"/>
        <v/>
      </c>
      <c r="Z28" s="159" t="s">
        <v>258</v>
      </c>
      <c r="AA28" s="159" t="s">
        <v>258</v>
      </c>
      <c r="AB28" s="143">
        <v>1</v>
      </c>
      <c r="AC28" s="144"/>
      <c r="AF28" s="144"/>
    </row>
    <row r="29" spans="1:32" s="143" customFormat="1" ht="75" x14ac:dyDescent="0.25">
      <c r="A29" s="142" t="s">
        <v>134</v>
      </c>
      <c r="B29" s="142"/>
      <c r="C29" s="142"/>
      <c r="D29" s="143" t="s">
        <v>27</v>
      </c>
      <c r="F29" s="143" t="s">
        <v>201</v>
      </c>
      <c r="G29" s="143" t="s">
        <v>186</v>
      </c>
      <c r="J29" s="143" t="s">
        <v>87</v>
      </c>
      <c r="K29" s="132" t="s">
        <v>257</v>
      </c>
      <c r="L29" s="143" t="s">
        <v>11</v>
      </c>
      <c r="M29" s="143" t="s">
        <v>26</v>
      </c>
      <c r="N29" s="143">
        <v>326</v>
      </c>
      <c r="O29" s="143">
        <v>328</v>
      </c>
      <c r="P29" s="108">
        <f t="shared" si="3"/>
        <v>0.32600000000000001</v>
      </c>
      <c r="Q29" s="108">
        <f t="shared" si="4"/>
        <v>0.32800000000000001</v>
      </c>
      <c r="R29" s="176">
        <v>0.32600000000000001</v>
      </c>
      <c r="S29" s="176">
        <v>0.32800000000000001</v>
      </c>
      <c r="T29" s="147">
        <f t="shared" si="5"/>
        <v>0.16099999999999998</v>
      </c>
      <c r="U29" s="147">
        <f t="shared" si="6"/>
        <v>0.15899999999999997</v>
      </c>
      <c r="V29" s="169">
        <v>0.16099999999999998</v>
      </c>
      <c r="W29" s="169">
        <v>0.15899999999999997</v>
      </c>
      <c r="X29" s="80">
        <f t="shared" si="11"/>
        <v>0.16099999999999998</v>
      </c>
      <c r="Y29" s="80">
        <f t="shared" si="12"/>
        <v>0.15899999999999997</v>
      </c>
      <c r="Z29" s="159">
        <v>0.16099999999999998</v>
      </c>
      <c r="AA29" s="159">
        <v>0.15899999999999997</v>
      </c>
      <c r="AC29" s="144"/>
      <c r="AF29" s="144"/>
    </row>
    <row r="30" spans="1:32" s="81" customFormat="1" ht="60" x14ac:dyDescent="0.25">
      <c r="A30" s="142" t="s">
        <v>135</v>
      </c>
      <c r="B30" s="131"/>
      <c r="C30" s="85" t="s">
        <v>15</v>
      </c>
      <c r="D30" s="85" t="s">
        <v>20</v>
      </c>
      <c r="E30" s="85" t="s">
        <v>77</v>
      </c>
      <c r="F30" s="85" t="s">
        <v>199</v>
      </c>
      <c r="G30" s="85" t="s">
        <v>182</v>
      </c>
      <c r="H30" s="85"/>
      <c r="I30" s="85" t="s">
        <v>78</v>
      </c>
      <c r="J30" s="85" t="s">
        <v>79</v>
      </c>
      <c r="K30" s="85" t="s">
        <v>27</v>
      </c>
      <c r="L30" s="85" t="s">
        <v>8</v>
      </c>
      <c r="M30" s="143" t="s">
        <v>207</v>
      </c>
      <c r="N30" s="85">
        <v>-5.0272605427163441E-2</v>
      </c>
      <c r="O30" s="85">
        <v>-5.0272605427163441E-2</v>
      </c>
      <c r="P30" s="108">
        <f t="shared" si="3"/>
        <v>-5.0272605427163441E-2</v>
      </c>
      <c r="Q30" s="108">
        <f t="shared" si="4"/>
        <v>-5.0272605427163441E-2</v>
      </c>
      <c r="R30" s="176">
        <v>-5.0272605427163441E-2</v>
      </c>
      <c r="S30" s="176">
        <v>-5.0272605427163441E-2</v>
      </c>
      <c r="T30" s="147" t="str">
        <f t="shared" si="5"/>
        <v/>
      </c>
      <c r="U30" s="147" t="str">
        <f t="shared" si="6"/>
        <v/>
      </c>
      <c r="V30" s="169" t="s">
        <v>258</v>
      </c>
      <c r="W30" s="169" t="s">
        <v>258</v>
      </c>
      <c r="X30" s="80" t="str">
        <f t="shared" si="11"/>
        <v/>
      </c>
      <c r="Y30" s="80" t="str">
        <f t="shared" si="12"/>
        <v/>
      </c>
      <c r="Z30" s="159" t="s">
        <v>258</v>
      </c>
      <c r="AA30" s="159" t="s">
        <v>258</v>
      </c>
      <c r="AB30" s="85">
        <v>2</v>
      </c>
      <c r="AC30" s="103" t="s">
        <v>80</v>
      </c>
      <c r="AD30" s="85"/>
      <c r="AE30" s="85"/>
      <c r="AF30" s="103"/>
    </row>
    <row r="31" spans="1:32" s="81" customFormat="1" ht="45" customHeight="1" x14ac:dyDescent="0.25">
      <c r="A31" s="142" t="s">
        <v>136</v>
      </c>
      <c r="B31" s="131"/>
      <c r="C31" s="85"/>
      <c r="D31" s="85" t="s">
        <v>27</v>
      </c>
      <c r="E31" s="85"/>
      <c r="F31" s="85" t="s">
        <v>201</v>
      </c>
      <c r="G31" s="132" t="s">
        <v>183</v>
      </c>
      <c r="H31" s="85"/>
      <c r="I31" s="85"/>
      <c r="J31" s="85"/>
      <c r="K31" s="132" t="s">
        <v>257</v>
      </c>
      <c r="L31" s="85" t="s">
        <v>8</v>
      </c>
      <c r="M31" s="143" t="s">
        <v>207</v>
      </c>
      <c r="N31" s="85">
        <v>-0.73610887448760731</v>
      </c>
      <c r="O31" s="85">
        <v>-0.73610887448760731</v>
      </c>
      <c r="P31" s="108">
        <f t="shared" si="3"/>
        <v>-0.73610887448760731</v>
      </c>
      <c r="Q31" s="108">
        <f t="shared" si="4"/>
        <v>-0.73610887448760731</v>
      </c>
      <c r="R31" s="176">
        <v>-0.73610887448760731</v>
      </c>
      <c r="S31" s="176">
        <v>-0.73610887448760731</v>
      </c>
      <c r="T31" s="147">
        <f t="shared" si="5"/>
        <v>0.68583626906044381</v>
      </c>
      <c r="U31" s="147">
        <f t="shared" si="6"/>
        <v>0.68583626906044381</v>
      </c>
      <c r="V31" s="169">
        <v>0.68583626906044381</v>
      </c>
      <c r="W31" s="169">
        <v>0.68583626906044381</v>
      </c>
      <c r="X31" s="80">
        <f t="shared" si="11"/>
        <v>0.68583626906044381</v>
      </c>
      <c r="Y31" s="80">
        <f t="shared" si="12"/>
        <v>0.68583626906044381</v>
      </c>
      <c r="Z31" s="159">
        <v>0.68583626906044381</v>
      </c>
      <c r="AA31" s="159">
        <v>0.68583626906044381</v>
      </c>
      <c r="AB31" s="85"/>
      <c r="AC31" s="103"/>
      <c r="AD31" s="85"/>
      <c r="AE31" s="85"/>
      <c r="AF31" s="103"/>
    </row>
    <row r="32" spans="1:32" s="143" customFormat="1" ht="60" x14ac:dyDescent="0.25">
      <c r="A32" s="142" t="s">
        <v>162</v>
      </c>
      <c r="B32" s="142" t="s">
        <v>61</v>
      </c>
      <c r="C32" s="104" t="s">
        <v>65</v>
      </c>
      <c r="E32" s="143" t="s">
        <v>82</v>
      </c>
      <c r="F32" s="143" t="s">
        <v>199</v>
      </c>
      <c r="G32" s="143" t="s">
        <v>175</v>
      </c>
      <c r="I32" s="143" t="s">
        <v>83</v>
      </c>
      <c r="L32" s="143" t="s">
        <v>11</v>
      </c>
      <c r="M32" s="143" t="s">
        <v>26</v>
      </c>
      <c r="N32" s="144">
        <v>529</v>
      </c>
      <c r="O32" s="143">
        <v>640</v>
      </c>
      <c r="P32" s="108">
        <f t="shared" si="3"/>
        <v>0.52900000000000003</v>
      </c>
      <c r="Q32" s="108">
        <f t="shared" si="4"/>
        <v>0.64</v>
      </c>
      <c r="R32" s="176">
        <v>0.52900000000000003</v>
      </c>
      <c r="S32" s="176">
        <v>0.64</v>
      </c>
      <c r="T32" s="147" t="str">
        <f t="shared" si="5"/>
        <v/>
      </c>
      <c r="U32" s="147" t="str">
        <f t="shared" si="6"/>
        <v/>
      </c>
      <c r="V32" s="169" t="s">
        <v>258</v>
      </c>
      <c r="W32" s="169" t="s">
        <v>258</v>
      </c>
      <c r="X32" s="80" t="str">
        <f t="shared" si="11"/>
        <v/>
      </c>
      <c r="Y32" s="80" t="str">
        <f t="shared" si="12"/>
        <v/>
      </c>
      <c r="Z32" s="159" t="s">
        <v>258</v>
      </c>
      <c r="AA32" s="159" t="s">
        <v>258</v>
      </c>
      <c r="AB32" s="143">
        <v>2</v>
      </c>
      <c r="AC32" s="144" t="s">
        <v>84</v>
      </c>
      <c r="AF32" s="144"/>
    </row>
    <row r="33" spans="1:32" s="143" customFormat="1" ht="23.25" x14ac:dyDescent="0.25">
      <c r="A33" s="142" t="s">
        <v>129</v>
      </c>
      <c r="B33" s="142"/>
      <c r="C33" s="104"/>
      <c r="F33" s="143" t="s">
        <v>201</v>
      </c>
      <c r="G33" s="143" t="s">
        <v>175</v>
      </c>
      <c r="I33" s="143" t="s">
        <v>83</v>
      </c>
      <c r="L33" s="143" t="s">
        <v>11</v>
      </c>
      <c r="M33" s="143" t="s">
        <v>26</v>
      </c>
      <c r="N33" s="144">
        <v>529</v>
      </c>
      <c r="O33" s="143">
        <v>445</v>
      </c>
      <c r="P33" s="108">
        <f t="shared" si="3"/>
        <v>0.52900000000000003</v>
      </c>
      <c r="Q33" s="108">
        <f t="shared" si="4"/>
        <v>0.44500000000000001</v>
      </c>
      <c r="R33" s="176">
        <v>0.52900000000000003</v>
      </c>
      <c r="S33" s="176">
        <v>0.44500000000000001</v>
      </c>
      <c r="T33" s="147">
        <f t="shared" si="5"/>
        <v>0</v>
      </c>
      <c r="U33" s="147">
        <f t="shared" si="6"/>
        <v>0.19500000000000001</v>
      </c>
      <c r="V33" s="169">
        <v>0</v>
      </c>
      <c r="W33" s="169">
        <v>0.19500000000000001</v>
      </c>
      <c r="X33" s="80" t="str">
        <f t="shared" si="11"/>
        <v/>
      </c>
      <c r="Y33" s="80" t="str">
        <f t="shared" si="12"/>
        <v/>
      </c>
      <c r="Z33" s="159" t="s">
        <v>258</v>
      </c>
      <c r="AA33" s="159" t="s">
        <v>258</v>
      </c>
      <c r="AC33" s="144"/>
      <c r="AF33" s="144"/>
    </row>
    <row r="34" spans="1:32" s="143" customFormat="1" ht="23.25" x14ac:dyDescent="0.25">
      <c r="A34" s="142" t="s">
        <v>130</v>
      </c>
      <c r="B34" s="142"/>
      <c r="C34" s="104"/>
      <c r="F34" s="143" t="s">
        <v>200</v>
      </c>
      <c r="G34" s="143" t="s">
        <v>185</v>
      </c>
      <c r="I34" s="143" t="s">
        <v>85</v>
      </c>
      <c r="L34" s="143" t="s">
        <v>11</v>
      </c>
      <c r="M34" s="143" t="s">
        <v>26</v>
      </c>
      <c r="N34" s="144">
        <v>-45</v>
      </c>
      <c r="O34" s="143">
        <v>-90</v>
      </c>
      <c r="P34" s="108">
        <f t="shared" si="3"/>
        <v>-4.4999999999999998E-2</v>
      </c>
      <c r="Q34" s="108">
        <f t="shared" si="4"/>
        <v>-0.09</v>
      </c>
      <c r="R34" s="176">
        <v>-4.4999999999999998E-2</v>
      </c>
      <c r="S34" s="176">
        <v>-0.09</v>
      </c>
      <c r="T34" s="147" t="str">
        <f t="shared" si="5"/>
        <v/>
      </c>
      <c r="U34" s="147" t="str">
        <f t="shared" si="6"/>
        <v/>
      </c>
      <c r="V34" s="169" t="s">
        <v>258</v>
      </c>
      <c r="W34" s="169" t="s">
        <v>258</v>
      </c>
      <c r="X34" s="80" t="str">
        <f t="shared" si="11"/>
        <v/>
      </c>
      <c r="Y34" s="80" t="str">
        <f t="shared" si="12"/>
        <v/>
      </c>
      <c r="Z34" s="159" t="s">
        <v>258</v>
      </c>
      <c r="AA34" s="159" t="s">
        <v>258</v>
      </c>
      <c r="AC34" s="144"/>
      <c r="AF34" s="144"/>
    </row>
    <row r="35" spans="1:32" s="104" customFormat="1" ht="39.75" customHeight="1" x14ac:dyDescent="0.25">
      <c r="A35" s="142" t="s">
        <v>131</v>
      </c>
      <c r="B35" s="142"/>
      <c r="C35" s="142"/>
      <c r="D35" s="143"/>
      <c r="E35" s="143"/>
      <c r="F35" s="143" t="s">
        <v>202</v>
      </c>
      <c r="G35" s="143" t="s">
        <v>185</v>
      </c>
      <c r="H35" s="143"/>
      <c r="I35" s="143" t="s">
        <v>85</v>
      </c>
      <c r="J35" s="143"/>
      <c r="K35" s="143" t="s">
        <v>211</v>
      </c>
      <c r="L35" s="143" t="s">
        <v>11</v>
      </c>
      <c r="M35" s="143" t="s">
        <v>26</v>
      </c>
      <c r="N35" s="144">
        <v>-45</v>
      </c>
      <c r="O35" s="143">
        <v>-292</v>
      </c>
      <c r="P35" s="108">
        <f t="shared" si="3"/>
        <v>-4.4999999999999998E-2</v>
      </c>
      <c r="Q35" s="108">
        <f t="shared" si="4"/>
        <v>-0.29199999999999998</v>
      </c>
      <c r="R35" s="176">
        <v>-4.4999999999999998E-2</v>
      </c>
      <c r="S35" s="176">
        <v>-0.29199999999999998</v>
      </c>
      <c r="T35" s="147">
        <f t="shared" si="5"/>
        <v>0</v>
      </c>
      <c r="U35" s="147">
        <f t="shared" si="6"/>
        <v>0.20199999999999999</v>
      </c>
      <c r="V35" s="169">
        <v>0</v>
      </c>
      <c r="W35" s="169">
        <v>0.20199999999999999</v>
      </c>
      <c r="X35" s="80">
        <f t="shared" si="11"/>
        <v>0</v>
      </c>
      <c r="Y35" s="80">
        <f t="shared" si="12"/>
        <v>0.39700000000000002</v>
      </c>
      <c r="Z35" s="159">
        <v>0</v>
      </c>
      <c r="AA35" s="159">
        <v>0.39700000000000002</v>
      </c>
      <c r="AB35" s="143"/>
      <c r="AC35" s="144"/>
      <c r="AD35" s="143"/>
      <c r="AE35" s="143"/>
      <c r="AF35" s="144"/>
    </row>
    <row r="36" spans="1:32" s="112" customFormat="1" ht="60" x14ac:dyDescent="0.25">
      <c r="A36" s="142" t="s">
        <v>132</v>
      </c>
      <c r="B36" s="131"/>
      <c r="C36" s="85" t="s">
        <v>15</v>
      </c>
      <c r="D36" s="85" t="s">
        <v>20</v>
      </c>
      <c r="E36" s="85" t="s">
        <v>77</v>
      </c>
      <c r="F36" s="85" t="s">
        <v>199</v>
      </c>
      <c r="G36" s="85" t="s">
        <v>182</v>
      </c>
      <c r="H36" s="85"/>
      <c r="I36" s="85" t="s">
        <v>78</v>
      </c>
      <c r="J36" s="85" t="s">
        <v>79</v>
      </c>
      <c r="K36" s="85"/>
      <c r="L36" s="85" t="s">
        <v>8</v>
      </c>
      <c r="M36" s="143" t="s">
        <v>207</v>
      </c>
      <c r="N36" s="85">
        <v>1.5439803329663917</v>
      </c>
      <c r="O36" s="85">
        <v>1.5439803329663917</v>
      </c>
      <c r="P36" s="108">
        <f t="shared" si="3"/>
        <v>1.5439803329663917</v>
      </c>
      <c r="Q36" s="108">
        <f t="shared" si="4"/>
        <v>1.5439803329663917</v>
      </c>
      <c r="R36" s="176">
        <v>1.5439803329663917</v>
      </c>
      <c r="S36" s="176">
        <v>1.5439803329663917</v>
      </c>
      <c r="T36" s="147" t="str">
        <f t="shared" si="5"/>
        <v/>
      </c>
      <c r="U36" s="147" t="str">
        <f t="shared" si="6"/>
        <v/>
      </c>
      <c r="V36" s="169" t="s">
        <v>258</v>
      </c>
      <c r="W36" s="169" t="s">
        <v>258</v>
      </c>
      <c r="X36" s="80" t="str">
        <f t="shared" si="11"/>
        <v/>
      </c>
      <c r="Y36" s="80" t="str">
        <f t="shared" si="12"/>
        <v/>
      </c>
      <c r="Z36" s="159" t="s">
        <v>258</v>
      </c>
      <c r="AA36" s="159" t="s">
        <v>258</v>
      </c>
      <c r="AB36" s="85">
        <v>2</v>
      </c>
      <c r="AC36" s="103" t="s">
        <v>80</v>
      </c>
      <c r="AD36" s="85"/>
      <c r="AE36" s="85"/>
      <c r="AF36" s="103"/>
    </row>
    <row r="37" spans="1:32" s="112" customFormat="1" ht="30" x14ac:dyDescent="0.25">
      <c r="A37" s="142" t="s">
        <v>133</v>
      </c>
      <c r="B37" s="131"/>
      <c r="C37" s="85"/>
      <c r="D37" s="85"/>
      <c r="E37" s="85"/>
      <c r="F37" s="85" t="s">
        <v>201</v>
      </c>
      <c r="G37" s="132" t="s">
        <v>183</v>
      </c>
      <c r="H37" s="85"/>
      <c r="I37" s="85"/>
      <c r="J37" s="85"/>
      <c r="K37" s="132" t="s">
        <v>257</v>
      </c>
      <c r="L37" s="85" t="s">
        <v>8</v>
      </c>
      <c r="M37" s="143" t="s">
        <v>207</v>
      </c>
      <c r="N37" s="85">
        <v>0.53240701136772128</v>
      </c>
      <c r="O37" s="85">
        <v>0.53240701136772128</v>
      </c>
      <c r="P37" s="108">
        <f t="shared" si="3"/>
        <v>0.53240701136772128</v>
      </c>
      <c r="Q37" s="108">
        <f t="shared" si="4"/>
        <v>0.53240701136772128</v>
      </c>
      <c r="R37" s="176">
        <v>0.53240701136772128</v>
      </c>
      <c r="S37" s="176">
        <v>0.53240701136772128</v>
      </c>
      <c r="T37" s="147">
        <f t="shared" si="5"/>
        <v>1.0115733215986704</v>
      </c>
      <c r="U37" s="147">
        <f t="shared" si="6"/>
        <v>1.0115733215986704</v>
      </c>
      <c r="V37" s="169">
        <v>1.0115733215986704</v>
      </c>
      <c r="W37" s="169">
        <v>1.0115733215986704</v>
      </c>
      <c r="X37" s="80">
        <f t="shared" si="11"/>
        <v>1.0115733215986704</v>
      </c>
      <c r="Y37" s="80">
        <f t="shared" si="12"/>
        <v>1.0115733215986704</v>
      </c>
      <c r="Z37" s="159">
        <v>1.0115733215986704</v>
      </c>
      <c r="AA37" s="159">
        <v>1.0115733215986704</v>
      </c>
      <c r="AB37" s="85"/>
      <c r="AC37" s="103"/>
      <c r="AD37" s="85"/>
      <c r="AE37" s="85"/>
      <c r="AF37" s="103"/>
    </row>
    <row r="38" spans="1:32" s="104" customFormat="1" ht="60" x14ac:dyDescent="0.25">
      <c r="A38" s="142" t="s">
        <v>166</v>
      </c>
      <c r="B38" s="142" t="s">
        <v>2</v>
      </c>
      <c r="C38" s="143" t="s">
        <v>101</v>
      </c>
      <c r="D38" s="146" t="s">
        <v>4</v>
      </c>
      <c r="E38" s="143" t="s">
        <v>102</v>
      </c>
      <c r="F38" s="143" t="s">
        <v>199</v>
      </c>
      <c r="G38" s="143" t="s">
        <v>187</v>
      </c>
      <c r="H38" s="143"/>
      <c r="I38" s="143" t="s">
        <v>103</v>
      </c>
      <c r="J38" s="143" t="s">
        <v>104</v>
      </c>
      <c r="K38" s="143"/>
      <c r="L38" s="143" t="s">
        <v>11</v>
      </c>
      <c r="M38" s="143" t="s">
        <v>26</v>
      </c>
      <c r="N38" s="143">
        <v>1084</v>
      </c>
      <c r="O38" s="143">
        <v>1084</v>
      </c>
      <c r="P38" s="108">
        <f t="shared" si="3"/>
        <v>1.0840000000000001</v>
      </c>
      <c r="Q38" s="108">
        <f t="shared" si="4"/>
        <v>1.0840000000000001</v>
      </c>
      <c r="R38" s="176">
        <v>1.0840000000000001</v>
      </c>
      <c r="S38" s="176">
        <v>1.0840000000000001</v>
      </c>
      <c r="T38" s="147" t="str">
        <f t="shared" si="5"/>
        <v/>
      </c>
      <c r="U38" s="147" t="str">
        <f t="shared" si="6"/>
        <v/>
      </c>
      <c r="V38" s="169" t="s">
        <v>258</v>
      </c>
      <c r="W38" s="169" t="s">
        <v>258</v>
      </c>
      <c r="X38" s="80" t="str">
        <f t="shared" si="11"/>
        <v/>
      </c>
      <c r="Y38" s="80" t="str">
        <f t="shared" si="12"/>
        <v/>
      </c>
      <c r="Z38" s="159" t="s">
        <v>258</v>
      </c>
      <c r="AA38" s="159" t="s">
        <v>258</v>
      </c>
      <c r="AB38" s="143">
        <v>2</v>
      </c>
      <c r="AC38" s="144" t="s">
        <v>105</v>
      </c>
      <c r="AD38" s="143"/>
      <c r="AE38" s="143"/>
      <c r="AF38" s="144"/>
    </row>
    <row r="39" spans="1:32" s="143" customFormat="1" ht="60" x14ac:dyDescent="0.25">
      <c r="A39" s="142" t="s">
        <v>151</v>
      </c>
      <c r="B39" s="142"/>
      <c r="E39" s="143" t="s">
        <v>107</v>
      </c>
      <c r="F39" s="143" t="s">
        <v>201</v>
      </c>
      <c r="G39" s="143" t="s">
        <v>189</v>
      </c>
      <c r="J39" s="143" t="s">
        <v>108</v>
      </c>
      <c r="L39" s="143" t="s">
        <v>11</v>
      </c>
      <c r="M39" s="143" t="s">
        <v>26</v>
      </c>
      <c r="N39" s="143">
        <v>1084</v>
      </c>
      <c r="O39" s="143">
        <v>-120</v>
      </c>
      <c r="P39" s="108">
        <f t="shared" si="3"/>
        <v>1.0840000000000001</v>
      </c>
      <c r="Q39" s="108">
        <f t="shared" si="4"/>
        <v>-0.12</v>
      </c>
      <c r="R39" s="176">
        <v>1.0840000000000001</v>
      </c>
      <c r="S39" s="176">
        <v>-0.12</v>
      </c>
      <c r="T39" s="147">
        <f t="shared" si="5"/>
        <v>0</v>
      </c>
      <c r="U39" s="147">
        <f t="shared" si="6"/>
        <v>1.2040000000000002</v>
      </c>
      <c r="V39" s="169">
        <v>0</v>
      </c>
      <c r="W39" s="169">
        <v>1.2040000000000002</v>
      </c>
      <c r="X39" s="80" t="str">
        <f t="shared" si="11"/>
        <v/>
      </c>
      <c r="Y39" s="80" t="str">
        <f t="shared" si="12"/>
        <v/>
      </c>
      <c r="Z39" s="159" t="s">
        <v>258</v>
      </c>
      <c r="AA39" s="159" t="s">
        <v>258</v>
      </c>
      <c r="AC39" s="144"/>
      <c r="AF39" s="144"/>
    </row>
    <row r="40" spans="1:32" s="143" customFormat="1" ht="45" x14ac:dyDescent="0.25">
      <c r="A40" s="142" t="s">
        <v>152</v>
      </c>
      <c r="B40" s="142"/>
      <c r="D40" s="146"/>
      <c r="E40" s="143" t="s">
        <v>106</v>
      </c>
      <c r="F40" s="143" t="s">
        <v>200</v>
      </c>
      <c r="G40" s="143" t="s">
        <v>188</v>
      </c>
      <c r="L40" s="143" t="s">
        <v>11</v>
      </c>
      <c r="M40" s="143" t="s">
        <v>26</v>
      </c>
      <c r="N40" s="143">
        <v>151</v>
      </c>
      <c r="O40" s="143">
        <v>164</v>
      </c>
      <c r="P40" s="108">
        <f t="shared" si="3"/>
        <v>0.151</v>
      </c>
      <c r="Q40" s="108">
        <f t="shared" si="4"/>
        <v>0.16400000000000001</v>
      </c>
      <c r="R40" s="176">
        <v>0.151</v>
      </c>
      <c r="S40" s="176">
        <v>0.16400000000000001</v>
      </c>
      <c r="T40" s="147" t="str">
        <f t="shared" si="5"/>
        <v/>
      </c>
      <c r="U40" s="147" t="str">
        <f t="shared" si="6"/>
        <v/>
      </c>
      <c r="V40" s="169" t="s">
        <v>258</v>
      </c>
      <c r="W40" s="169" t="s">
        <v>258</v>
      </c>
      <c r="X40" s="80" t="str">
        <f t="shared" si="11"/>
        <v/>
      </c>
      <c r="Y40" s="80" t="str">
        <f t="shared" si="12"/>
        <v/>
      </c>
      <c r="Z40" s="159" t="s">
        <v>258</v>
      </c>
      <c r="AA40" s="159" t="s">
        <v>258</v>
      </c>
      <c r="AC40" s="144"/>
      <c r="AF40" s="144"/>
    </row>
    <row r="41" spans="1:32" s="104" customFormat="1" ht="45" x14ac:dyDescent="0.25">
      <c r="A41" s="142" t="s">
        <v>153</v>
      </c>
      <c r="B41" s="142"/>
      <c r="C41" s="143"/>
      <c r="D41" s="143"/>
      <c r="E41" s="143" t="s">
        <v>109</v>
      </c>
      <c r="F41" s="143" t="s">
        <v>202</v>
      </c>
      <c r="G41" s="143" t="s">
        <v>190</v>
      </c>
      <c r="H41" s="143"/>
      <c r="I41" s="143"/>
      <c r="J41" s="143" t="s">
        <v>110</v>
      </c>
      <c r="K41" s="143" t="s">
        <v>211</v>
      </c>
      <c r="L41" s="143" t="s">
        <v>11</v>
      </c>
      <c r="M41" s="143" t="s">
        <v>26</v>
      </c>
      <c r="N41" s="143">
        <v>151</v>
      </c>
      <c r="O41" s="143">
        <v>59</v>
      </c>
      <c r="P41" s="108">
        <f t="shared" si="3"/>
        <v>0.151</v>
      </c>
      <c r="Q41" s="108">
        <f t="shared" si="4"/>
        <v>5.9000000000000004E-2</v>
      </c>
      <c r="R41" s="176">
        <v>0.151</v>
      </c>
      <c r="S41" s="176">
        <v>5.9000000000000004E-2</v>
      </c>
      <c r="T41" s="147">
        <f t="shared" si="5"/>
        <v>0</v>
      </c>
      <c r="U41" s="147">
        <f t="shared" si="6"/>
        <v>0.10500000000000001</v>
      </c>
      <c r="V41" s="169">
        <v>0</v>
      </c>
      <c r="W41" s="169">
        <v>0.10500000000000001</v>
      </c>
      <c r="X41" s="80">
        <f t="shared" si="11"/>
        <v>0</v>
      </c>
      <c r="Y41" s="80">
        <f t="shared" si="12"/>
        <v>1.3090000000000002</v>
      </c>
      <c r="Z41" s="159">
        <v>0</v>
      </c>
      <c r="AA41" s="159">
        <v>1.3090000000000002</v>
      </c>
      <c r="AB41" s="143"/>
      <c r="AC41" s="144"/>
      <c r="AD41" s="143"/>
      <c r="AE41" s="143"/>
      <c r="AF41" s="144"/>
    </row>
    <row r="42" spans="1:32" s="81" customFormat="1" ht="60" x14ac:dyDescent="0.25">
      <c r="A42" s="142" t="s">
        <v>154</v>
      </c>
      <c r="B42" s="131"/>
      <c r="C42" s="85" t="s">
        <v>111</v>
      </c>
      <c r="D42" s="135" t="s">
        <v>10</v>
      </c>
      <c r="E42" s="85" t="s">
        <v>231</v>
      </c>
      <c r="F42" s="85" t="s">
        <v>199</v>
      </c>
      <c r="G42" s="85" t="s">
        <v>185</v>
      </c>
      <c r="H42" s="85"/>
      <c r="I42" s="85" t="s">
        <v>112</v>
      </c>
      <c r="J42" s="85" t="s">
        <v>113</v>
      </c>
      <c r="K42" s="85"/>
      <c r="L42" s="85" t="s">
        <v>26</v>
      </c>
      <c r="M42" s="143" t="s">
        <v>26</v>
      </c>
      <c r="N42" s="103">
        <v>852</v>
      </c>
      <c r="O42" s="103">
        <v>852</v>
      </c>
      <c r="P42" s="108">
        <f t="shared" si="3"/>
        <v>0.85199999999999998</v>
      </c>
      <c r="Q42" s="108">
        <f t="shared" si="4"/>
        <v>0.85199999999999998</v>
      </c>
      <c r="R42" s="176">
        <v>0.85199999999999998</v>
      </c>
      <c r="S42" s="176">
        <v>0.85199999999999998</v>
      </c>
      <c r="T42" s="147" t="str">
        <f t="shared" si="5"/>
        <v/>
      </c>
      <c r="U42" s="147" t="str">
        <f t="shared" si="6"/>
        <v/>
      </c>
      <c r="V42" s="169" t="s">
        <v>258</v>
      </c>
      <c r="W42" s="169" t="s">
        <v>258</v>
      </c>
      <c r="X42" s="80" t="str">
        <f t="shared" si="11"/>
        <v/>
      </c>
      <c r="Y42" s="80" t="str">
        <f t="shared" si="12"/>
        <v/>
      </c>
      <c r="Z42" s="159" t="s">
        <v>258</v>
      </c>
      <c r="AA42" s="159" t="s">
        <v>258</v>
      </c>
      <c r="AB42" s="85">
        <v>2</v>
      </c>
      <c r="AC42" s="85" t="s">
        <v>276</v>
      </c>
      <c r="AD42" s="85"/>
      <c r="AE42" s="85"/>
      <c r="AF42" s="103"/>
    </row>
    <row r="43" spans="1:32" s="81" customFormat="1" ht="45" customHeight="1" x14ac:dyDescent="0.25">
      <c r="A43" s="142" t="s">
        <v>157</v>
      </c>
      <c r="B43" s="131"/>
      <c r="C43" s="85"/>
      <c r="D43" s="85"/>
      <c r="E43" s="85" t="s">
        <v>114</v>
      </c>
      <c r="F43" s="85" t="s">
        <v>201</v>
      </c>
      <c r="G43" s="85" t="s">
        <v>237</v>
      </c>
      <c r="H43" s="85"/>
      <c r="I43" s="85" t="s">
        <v>115</v>
      </c>
      <c r="J43" s="85" t="s">
        <v>116</v>
      </c>
      <c r="K43" s="85"/>
      <c r="L43" s="85" t="s">
        <v>26</v>
      </c>
      <c r="M43" s="85" t="s">
        <v>26</v>
      </c>
      <c r="N43" s="103">
        <v>98</v>
      </c>
      <c r="O43" s="85" t="s">
        <v>249</v>
      </c>
      <c r="P43" s="108">
        <f t="shared" si="3"/>
        <v>9.8000000000000004E-2</v>
      </c>
      <c r="Q43" s="108" t="e">
        <f t="shared" si="4"/>
        <v>#VALUE!</v>
      </c>
      <c r="R43" s="176">
        <v>9.8000000000000004E-2</v>
      </c>
      <c r="S43" s="176">
        <v>0</v>
      </c>
      <c r="T43" s="147">
        <f t="shared" si="5"/>
        <v>0.754</v>
      </c>
      <c r="U43" s="147">
        <f t="shared" si="6"/>
        <v>0.85199999999999998</v>
      </c>
      <c r="V43" s="169">
        <v>0.754</v>
      </c>
      <c r="W43" s="169">
        <v>0.85199999999999998</v>
      </c>
      <c r="X43" s="80" t="str">
        <f t="shared" si="11"/>
        <v/>
      </c>
      <c r="Y43" s="80" t="str">
        <f t="shared" si="12"/>
        <v/>
      </c>
      <c r="Z43" s="159" t="s">
        <v>258</v>
      </c>
      <c r="AA43" s="159" t="s">
        <v>258</v>
      </c>
      <c r="AB43" s="85"/>
      <c r="AC43" s="103"/>
      <c r="AD43" s="103"/>
      <c r="AE43" s="85"/>
      <c r="AF43" s="103"/>
    </row>
    <row r="44" spans="1:32" s="81" customFormat="1" ht="38.25" customHeight="1" x14ac:dyDescent="0.25">
      <c r="A44" s="142" t="s">
        <v>243</v>
      </c>
      <c r="B44" s="131"/>
      <c r="C44" s="85"/>
      <c r="D44" s="85"/>
      <c r="E44" s="85"/>
      <c r="F44" s="85" t="s">
        <v>203</v>
      </c>
      <c r="G44" s="85" t="s">
        <v>240</v>
      </c>
      <c r="H44" s="85"/>
      <c r="I44" s="85"/>
      <c r="J44" s="85"/>
      <c r="K44" s="85"/>
      <c r="L44" s="85" t="s">
        <v>26</v>
      </c>
      <c r="M44" s="85" t="s">
        <v>26</v>
      </c>
      <c r="N44" s="103">
        <v>-212</v>
      </c>
      <c r="O44" s="85" t="s">
        <v>249</v>
      </c>
      <c r="P44" s="108">
        <f t="shared" si="3"/>
        <v>-0.21199999999999999</v>
      </c>
      <c r="Q44" s="108" t="e">
        <f t="shared" si="4"/>
        <v>#VALUE!</v>
      </c>
      <c r="R44" s="176">
        <v>-0.21199999999999999</v>
      </c>
      <c r="S44" s="176">
        <v>0</v>
      </c>
      <c r="T44" s="147">
        <f t="shared" si="5"/>
        <v>1.0640000000000001</v>
      </c>
      <c r="U44" s="147">
        <f t="shared" si="6"/>
        <v>0.85199999999999998</v>
      </c>
      <c r="V44" s="169">
        <v>1.0640000000000001</v>
      </c>
      <c r="W44" s="169">
        <v>0.85199999999999998</v>
      </c>
      <c r="X44" s="80" t="str">
        <f t="shared" si="11"/>
        <v/>
      </c>
      <c r="Y44" s="80" t="str">
        <f t="shared" si="12"/>
        <v/>
      </c>
      <c r="Z44" s="159" t="s">
        <v>258</v>
      </c>
      <c r="AA44" s="159" t="s">
        <v>258</v>
      </c>
      <c r="AB44" s="85"/>
      <c r="AC44" s="103"/>
      <c r="AD44" s="103"/>
      <c r="AE44" s="85"/>
      <c r="AF44" s="103"/>
    </row>
    <row r="45" spans="1:32" s="81" customFormat="1" ht="32.25" customHeight="1" x14ac:dyDescent="0.25">
      <c r="A45" s="142" t="s">
        <v>246</v>
      </c>
      <c r="B45" s="131"/>
      <c r="C45" s="85"/>
      <c r="D45" s="85"/>
      <c r="E45" s="85"/>
      <c r="F45" s="85" t="s">
        <v>251</v>
      </c>
      <c r="G45" s="85" t="s">
        <v>254</v>
      </c>
      <c r="H45" s="85"/>
      <c r="I45" s="85"/>
      <c r="J45" s="85"/>
      <c r="K45" s="85"/>
      <c r="L45" s="85" t="s">
        <v>26</v>
      </c>
      <c r="M45" s="85" t="s">
        <v>26</v>
      </c>
      <c r="N45" s="103" t="s">
        <v>249</v>
      </c>
      <c r="O45" s="85">
        <v>-248</v>
      </c>
      <c r="P45" s="108" t="e">
        <f t="shared" si="3"/>
        <v>#VALUE!</v>
      </c>
      <c r="Q45" s="108">
        <f t="shared" si="4"/>
        <v>-0.248</v>
      </c>
      <c r="R45" s="176">
        <v>0</v>
      </c>
      <c r="S45" s="176">
        <v>-0.248</v>
      </c>
      <c r="T45" s="147" t="str">
        <f t="shared" si="5"/>
        <v/>
      </c>
      <c r="U45" s="147" t="str">
        <f t="shared" si="6"/>
        <v/>
      </c>
      <c r="V45" s="169" t="s">
        <v>258</v>
      </c>
      <c r="W45" s="169" t="s">
        <v>258</v>
      </c>
      <c r="X45" s="80" t="str">
        <f t="shared" si="11"/>
        <v/>
      </c>
      <c r="Y45" s="80" t="str">
        <f t="shared" si="12"/>
        <v/>
      </c>
      <c r="Z45" s="159" t="s">
        <v>258</v>
      </c>
      <c r="AA45" s="159" t="s">
        <v>258</v>
      </c>
      <c r="AB45" s="85"/>
      <c r="AC45" s="103"/>
      <c r="AD45" s="103"/>
      <c r="AE45" s="85"/>
      <c r="AF45" s="103"/>
    </row>
    <row r="46" spans="1:32" s="81" customFormat="1" ht="23.25" x14ac:dyDescent="0.25">
      <c r="A46" s="142" t="s">
        <v>155</v>
      </c>
      <c r="B46" s="131"/>
      <c r="C46" s="85"/>
      <c r="D46" s="135"/>
      <c r="E46" s="85" t="s">
        <v>232</v>
      </c>
      <c r="F46" s="85" t="s">
        <v>200</v>
      </c>
      <c r="G46" s="85" t="s">
        <v>234</v>
      </c>
      <c r="H46" s="85"/>
      <c r="I46" s="85"/>
      <c r="J46" s="85"/>
      <c r="K46" s="85"/>
      <c r="L46" s="85" t="s">
        <v>26</v>
      </c>
      <c r="M46" s="143" t="s">
        <v>26</v>
      </c>
      <c r="N46" s="103">
        <v>1160</v>
      </c>
      <c r="O46" s="103">
        <v>1230</v>
      </c>
      <c r="P46" s="108">
        <f t="shared" si="3"/>
        <v>1.1599999999999999</v>
      </c>
      <c r="Q46" s="108">
        <f t="shared" si="4"/>
        <v>1.23</v>
      </c>
      <c r="R46" s="176">
        <v>1.1599999999999999</v>
      </c>
      <c r="S46" s="176">
        <v>1.23</v>
      </c>
      <c r="T46" s="147" t="str">
        <f t="shared" si="5"/>
        <v/>
      </c>
      <c r="U46" s="147" t="str">
        <f t="shared" si="6"/>
        <v/>
      </c>
      <c r="V46" s="169" t="s">
        <v>258</v>
      </c>
      <c r="W46" s="169" t="s">
        <v>258</v>
      </c>
      <c r="X46" s="80" t="str">
        <f t="shared" si="11"/>
        <v/>
      </c>
      <c r="Y46" s="80" t="str">
        <f t="shared" si="12"/>
        <v/>
      </c>
      <c r="Z46" s="159" t="s">
        <v>258</v>
      </c>
      <c r="AA46" s="159" t="s">
        <v>258</v>
      </c>
      <c r="AB46" s="85"/>
      <c r="AC46" s="103"/>
      <c r="AD46" s="85"/>
      <c r="AE46" s="85"/>
      <c r="AF46" s="103"/>
    </row>
    <row r="47" spans="1:32" s="81" customFormat="1" ht="23.25" x14ac:dyDescent="0.25">
      <c r="A47" s="142" t="s">
        <v>158</v>
      </c>
      <c r="B47" s="131"/>
      <c r="C47" s="85"/>
      <c r="D47" s="85"/>
      <c r="E47" s="85"/>
      <c r="F47" s="85" t="s">
        <v>202</v>
      </c>
      <c r="G47" s="85" t="s">
        <v>238</v>
      </c>
      <c r="H47" s="85"/>
      <c r="I47" s="85"/>
      <c r="J47" s="85"/>
      <c r="K47" s="85"/>
      <c r="L47" s="85" t="s">
        <v>26</v>
      </c>
      <c r="M47" s="85" t="s">
        <v>26</v>
      </c>
      <c r="N47" s="103">
        <v>810</v>
      </c>
      <c r="O47" s="85" t="s">
        <v>249</v>
      </c>
      <c r="P47" s="108">
        <f t="shared" si="3"/>
        <v>0.81</v>
      </c>
      <c r="Q47" s="108" t="e">
        <f t="shared" si="4"/>
        <v>#VALUE!</v>
      </c>
      <c r="R47" s="176">
        <v>0.81</v>
      </c>
      <c r="S47" s="176">
        <v>0</v>
      </c>
      <c r="T47" s="147">
        <f t="shared" si="5"/>
        <v>0.34999999999999987</v>
      </c>
      <c r="U47" s="147">
        <f t="shared" si="6"/>
        <v>1.23</v>
      </c>
      <c r="V47" s="169">
        <v>0.34999999999999987</v>
      </c>
      <c r="W47" s="169">
        <v>1.23</v>
      </c>
      <c r="X47" s="80" t="str">
        <f t="shared" si="11"/>
        <v/>
      </c>
      <c r="Y47" s="80" t="str">
        <f t="shared" si="12"/>
        <v/>
      </c>
      <c r="Z47" s="159" t="s">
        <v>258</v>
      </c>
      <c r="AA47" s="159" t="s">
        <v>258</v>
      </c>
      <c r="AB47" s="85"/>
      <c r="AC47" s="103"/>
      <c r="AD47" s="103"/>
      <c r="AE47" s="85"/>
      <c r="AF47" s="103"/>
    </row>
    <row r="48" spans="1:32" s="81" customFormat="1" ht="23.25" x14ac:dyDescent="0.25">
      <c r="A48" s="142" t="s">
        <v>244</v>
      </c>
      <c r="B48" s="131"/>
      <c r="C48" s="85"/>
      <c r="D48" s="85"/>
      <c r="E48" s="85"/>
      <c r="F48" s="85" t="s">
        <v>236</v>
      </c>
      <c r="G48" s="85" t="s">
        <v>241</v>
      </c>
      <c r="H48" s="85"/>
      <c r="I48" s="85"/>
      <c r="J48" s="85"/>
      <c r="K48" s="85"/>
      <c r="L48" s="85" t="s">
        <v>26</v>
      </c>
      <c r="M48" s="85" t="s">
        <v>26</v>
      </c>
      <c r="N48" s="103">
        <v>753</v>
      </c>
      <c r="O48" s="85" t="s">
        <v>249</v>
      </c>
      <c r="P48" s="108">
        <f t="shared" si="3"/>
        <v>0.753</v>
      </c>
      <c r="Q48" s="108" t="e">
        <f t="shared" si="4"/>
        <v>#VALUE!</v>
      </c>
      <c r="R48" s="176">
        <v>0.753</v>
      </c>
      <c r="S48" s="176">
        <v>0</v>
      </c>
      <c r="T48" s="147">
        <f t="shared" si="5"/>
        <v>0.40699999999999992</v>
      </c>
      <c r="U48" s="147">
        <f t="shared" si="6"/>
        <v>1.23</v>
      </c>
      <c r="V48" s="169">
        <v>0.40699999999999992</v>
      </c>
      <c r="W48" s="169">
        <v>1.23</v>
      </c>
      <c r="X48" s="80" t="str">
        <f t="shared" si="11"/>
        <v/>
      </c>
      <c r="Y48" s="80" t="str">
        <f t="shared" si="12"/>
        <v/>
      </c>
      <c r="Z48" s="159" t="s">
        <v>258</v>
      </c>
      <c r="AA48" s="159" t="s">
        <v>258</v>
      </c>
      <c r="AB48" s="85"/>
      <c r="AC48" s="103"/>
      <c r="AD48" s="103"/>
      <c r="AE48" s="85"/>
      <c r="AF48" s="103"/>
    </row>
    <row r="49" spans="1:39" s="81" customFormat="1" ht="32.25" customHeight="1" x14ac:dyDescent="0.25">
      <c r="A49" s="142" t="s">
        <v>247</v>
      </c>
      <c r="B49" s="131"/>
      <c r="C49" s="85"/>
      <c r="D49" s="85"/>
      <c r="E49" s="85"/>
      <c r="F49" s="85" t="s">
        <v>252</v>
      </c>
      <c r="G49" s="85" t="s">
        <v>254</v>
      </c>
      <c r="H49" s="85"/>
      <c r="I49" s="85"/>
      <c r="J49" s="85"/>
      <c r="K49" s="85"/>
      <c r="L49" s="85" t="s">
        <v>26</v>
      </c>
      <c r="M49" s="85" t="s">
        <v>26</v>
      </c>
      <c r="N49" s="103" t="s">
        <v>249</v>
      </c>
      <c r="O49" s="85">
        <v>530</v>
      </c>
      <c r="P49" s="108" t="e">
        <f t="shared" si="3"/>
        <v>#VALUE!</v>
      </c>
      <c r="Q49" s="108">
        <f t="shared" si="4"/>
        <v>0.53</v>
      </c>
      <c r="R49" s="176">
        <v>0</v>
      </c>
      <c r="S49" s="176">
        <v>0.53</v>
      </c>
      <c r="T49" s="147">
        <f t="shared" si="5"/>
        <v>1.1599999999999999</v>
      </c>
      <c r="U49" s="147">
        <f t="shared" si="6"/>
        <v>0.7</v>
      </c>
      <c r="V49" s="169">
        <v>1.1599999999999999</v>
      </c>
      <c r="W49" s="169">
        <v>0.7</v>
      </c>
      <c r="X49" s="80" t="str">
        <f t="shared" si="11"/>
        <v/>
      </c>
      <c r="Y49" s="80" t="str">
        <f t="shared" si="12"/>
        <v/>
      </c>
      <c r="Z49" s="159" t="s">
        <v>258</v>
      </c>
      <c r="AA49" s="159" t="s">
        <v>258</v>
      </c>
      <c r="AB49" s="85"/>
      <c r="AC49" s="103"/>
      <c r="AD49" s="103"/>
      <c r="AE49" s="85"/>
      <c r="AF49" s="103"/>
    </row>
    <row r="50" spans="1:39" s="81" customFormat="1" ht="23.25" x14ac:dyDescent="0.25">
      <c r="A50" s="142" t="s">
        <v>156</v>
      </c>
      <c r="B50" s="131"/>
      <c r="C50" s="85"/>
      <c r="D50" s="135"/>
      <c r="E50" s="85" t="s">
        <v>233</v>
      </c>
      <c r="F50" s="85" t="s">
        <v>230</v>
      </c>
      <c r="G50" s="85" t="s">
        <v>175</v>
      </c>
      <c r="H50" s="85"/>
      <c r="I50" s="85"/>
      <c r="J50" s="85"/>
      <c r="K50" s="85"/>
      <c r="L50" s="85" t="s">
        <v>26</v>
      </c>
      <c r="M50" s="143" t="s">
        <v>26</v>
      </c>
      <c r="N50" s="103">
        <v>150</v>
      </c>
      <c r="O50" s="103">
        <v>164</v>
      </c>
      <c r="P50" s="108">
        <f t="shared" si="3"/>
        <v>0.15</v>
      </c>
      <c r="Q50" s="108">
        <f t="shared" si="4"/>
        <v>0.16400000000000001</v>
      </c>
      <c r="R50" s="176">
        <v>0.15</v>
      </c>
      <c r="S50" s="176">
        <v>0.16400000000000001</v>
      </c>
      <c r="T50" s="147" t="str">
        <f t="shared" si="5"/>
        <v/>
      </c>
      <c r="U50" s="147" t="str">
        <f t="shared" si="6"/>
        <v/>
      </c>
      <c r="V50" s="169" t="s">
        <v>258</v>
      </c>
      <c r="W50" s="169" t="s">
        <v>258</v>
      </c>
      <c r="X50" s="80" t="str">
        <f t="shared" si="11"/>
        <v/>
      </c>
      <c r="Y50" s="80" t="str">
        <f t="shared" si="12"/>
        <v/>
      </c>
      <c r="Z50" s="159" t="s">
        <v>258</v>
      </c>
      <c r="AA50" s="159" t="s">
        <v>258</v>
      </c>
      <c r="AB50" s="85"/>
      <c r="AC50" s="103"/>
      <c r="AD50" s="85"/>
      <c r="AE50" s="85"/>
      <c r="AF50" s="103"/>
    </row>
    <row r="51" spans="1:39" s="81" customFormat="1" ht="30" x14ac:dyDescent="0.25">
      <c r="A51" s="142" t="s">
        <v>159</v>
      </c>
      <c r="B51" s="131"/>
      <c r="C51" s="85"/>
      <c r="D51" s="85"/>
      <c r="E51" s="85"/>
      <c r="F51" s="85" t="s">
        <v>235</v>
      </c>
      <c r="G51" s="85" t="s">
        <v>239</v>
      </c>
      <c r="H51" s="85"/>
      <c r="I51" s="85"/>
      <c r="J51" s="85"/>
      <c r="K51" s="85"/>
      <c r="L51" s="85" t="s">
        <v>26</v>
      </c>
      <c r="M51" s="85" t="s">
        <v>26</v>
      </c>
      <c r="N51" s="103">
        <v>59</v>
      </c>
      <c r="O51" s="85" t="s">
        <v>249</v>
      </c>
      <c r="P51" s="108">
        <f t="shared" si="3"/>
        <v>5.9000000000000004E-2</v>
      </c>
      <c r="Q51" s="108" t="e">
        <f t="shared" si="4"/>
        <v>#VALUE!</v>
      </c>
      <c r="R51" s="176">
        <v>5.9000000000000004E-2</v>
      </c>
      <c r="S51" s="176">
        <v>0</v>
      </c>
      <c r="T51" s="147">
        <f t="shared" si="5"/>
        <v>9.0999999999999998E-2</v>
      </c>
      <c r="U51" s="147">
        <f t="shared" si="6"/>
        <v>0.16400000000000001</v>
      </c>
      <c r="V51" s="169">
        <v>9.0999999999999998E-2</v>
      </c>
      <c r="W51" s="169">
        <v>0.16400000000000001</v>
      </c>
      <c r="X51" s="80" t="str">
        <f t="shared" si="11"/>
        <v/>
      </c>
      <c r="Y51" s="80" t="str">
        <f t="shared" si="12"/>
        <v/>
      </c>
      <c r="Z51" s="159" t="s">
        <v>258</v>
      </c>
      <c r="AA51" s="159" t="s">
        <v>258</v>
      </c>
      <c r="AB51" s="85"/>
      <c r="AC51" s="103"/>
      <c r="AD51" s="103"/>
      <c r="AE51" s="85"/>
      <c r="AF51" s="103"/>
    </row>
    <row r="52" spans="1:39" s="81" customFormat="1" ht="32.25" customHeight="1" x14ac:dyDescent="0.25">
      <c r="A52" s="142" t="s">
        <v>245</v>
      </c>
      <c r="B52" s="131"/>
      <c r="C52" s="85"/>
      <c r="D52" s="85"/>
      <c r="E52" s="85"/>
      <c r="F52" s="85" t="s">
        <v>248</v>
      </c>
      <c r="G52" s="85" t="s">
        <v>242</v>
      </c>
      <c r="H52" s="85"/>
      <c r="I52" s="85"/>
      <c r="J52" s="85"/>
      <c r="K52" s="85"/>
      <c r="L52" s="85" t="s">
        <v>26</v>
      </c>
      <c r="M52" s="85" t="s">
        <v>26</v>
      </c>
      <c r="N52" s="103">
        <v>49</v>
      </c>
      <c r="O52" s="85" t="s">
        <v>249</v>
      </c>
      <c r="P52" s="108">
        <f t="shared" si="3"/>
        <v>4.9000000000000002E-2</v>
      </c>
      <c r="Q52" s="108" t="e">
        <f t="shared" si="4"/>
        <v>#VALUE!</v>
      </c>
      <c r="R52" s="176">
        <v>4.9000000000000002E-2</v>
      </c>
      <c r="S52" s="176">
        <v>0</v>
      </c>
      <c r="T52" s="147">
        <f t="shared" si="5"/>
        <v>0.10099999999999999</v>
      </c>
      <c r="U52" s="147">
        <f t="shared" si="6"/>
        <v>0.16400000000000001</v>
      </c>
      <c r="V52" s="169">
        <v>0.10099999999999999</v>
      </c>
      <c r="W52" s="169">
        <v>0.16400000000000001</v>
      </c>
      <c r="X52" s="80" t="str">
        <f t="shared" si="11"/>
        <v/>
      </c>
      <c r="Y52" s="80" t="str">
        <f t="shared" si="12"/>
        <v/>
      </c>
      <c r="Z52" s="159" t="s">
        <v>258</v>
      </c>
      <c r="AA52" s="159" t="s">
        <v>258</v>
      </c>
      <c r="AB52" s="85"/>
      <c r="AC52" s="103"/>
      <c r="AD52" s="103"/>
      <c r="AE52" s="85"/>
      <c r="AF52" s="103"/>
    </row>
    <row r="53" spans="1:39" s="81" customFormat="1" ht="32.25" customHeight="1" x14ac:dyDescent="0.25">
      <c r="A53" s="142" t="s">
        <v>250</v>
      </c>
      <c r="B53" s="131"/>
      <c r="C53" s="85"/>
      <c r="D53" s="85"/>
      <c r="E53" s="85"/>
      <c r="F53" s="85" t="s">
        <v>253</v>
      </c>
      <c r="G53" s="85" t="s">
        <v>254</v>
      </c>
      <c r="H53" s="85"/>
      <c r="I53" s="85"/>
      <c r="J53" s="85"/>
      <c r="K53" s="85" t="s">
        <v>259</v>
      </c>
      <c r="L53" s="85" t="s">
        <v>26</v>
      </c>
      <c r="M53" s="85" t="s">
        <v>26</v>
      </c>
      <c r="N53" s="103" t="s">
        <v>249</v>
      </c>
      <c r="O53" s="85">
        <v>59</v>
      </c>
      <c r="P53" s="108" t="e">
        <f t="shared" si="3"/>
        <v>#VALUE!</v>
      </c>
      <c r="Q53" s="108">
        <f t="shared" si="4"/>
        <v>5.9000000000000004E-2</v>
      </c>
      <c r="R53" s="176">
        <v>0</v>
      </c>
      <c r="S53" s="176">
        <v>5.9000000000000004E-2</v>
      </c>
      <c r="T53" s="147">
        <f t="shared" si="5"/>
        <v>0.15</v>
      </c>
      <c r="U53" s="147">
        <f t="shared" si="6"/>
        <v>0.10500000000000001</v>
      </c>
      <c r="V53" s="169">
        <v>0.15</v>
      </c>
      <c r="W53" s="169">
        <v>0.10500000000000001</v>
      </c>
      <c r="X53" s="80">
        <f t="shared" si="11"/>
        <v>2.7670000000000003</v>
      </c>
      <c r="Y53" s="80">
        <f t="shared" si="12"/>
        <v>0.80499999999999994</v>
      </c>
      <c r="Z53" s="159">
        <v>2.7670000000000003</v>
      </c>
      <c r="AA53" s="159">
        <v>0.80499999999999994</v>
      </c>
      <c r="AB53" s="85"/>
      <c r="AC53" s="103"/>
      <c r="AD53" s="103"/>
      <c r="AE53" s="85"/>
      <c r="AF53" s="103"/>
    </row>
    <row r="54" spans="1:39" s="143" customFormat="1" ht="60" x14ac:dyDescent="0.25">
      <c r="A54" s="142" t="s">
        <v>246</v>
      </c>
      <c r="B54" s="142"/>
      <c r="C54" s="85" t="s">
        <v>15</v>
      </c>
      <c r="D54" s="143" t="s">
        <v>20</v>
      </c>
      <c r="E54" s="143" t="s">
        <v>77</v>
      </c>
      <c r="F54" s="143" t="s">
        <v>199</v>
      </c>
      <c r="G54" s="143" t="s">
        <v>182</v>
      </c>
      <c r="I54" s="143" t="s">
        <v>78</v>
      </c>
      <c r="J54" s="143" t="s">
        <v>79</v>
      </c>
      <c r="L54" s="143" t="s">
        <v>8</v>
      </c>
      <c r="M54" s="143" t="s">
        <v>207</v>
      </c>
      <c r="N54" s="143">
        <v>0.4798760044899088</v>
      </c>
      <c r="O54" s="143">
        <v>0.4798760044899088</v>
      </c>
      <c r="P54" s="108">
        <f t="shared" si="3"/>
        <v>0.4798760044899088</v>
      </c>
      <c r="Q54" s="108">
        <f t="shared" si="4"/>
        <v>0.4798760044899088</v>
      </c>
      <c r="R54" s="176">
        <v>0.4798760044899088</v>
      </c>
      <c r="S54" s="176">
        <v>0.4798760044899088</v>
      </c>
      <c r="T54" s="147" t="str">
        <f t="shared" si="5"/>
        <v/>
      </c>
      <c r="U54" s="147" t="str">
        <f t="shared" si="6"/>
        <v/>
      </c>
      <c r="V54" s="169" t="s">
        <v>258</v>
      </c>
      <c r="W54" s="169" t="s">
        <v>258</v>
      </c>
      <c r="X54" s="80" t="str">
        <f t="shared" si="11"/>
        <v/>
      </c>
      <c r="Y54" s="80" t="str">
        <f t="shared" si="12"/>
        <v/>
      </c>
      <c r="Z54" s="159" t="s">
        <v>258</v>
      </c>
      <c r="AA54" s="159" t="s">
        <v>258</v>
      </c>
      <c r="AB54" s="143">
        <v>2</v>
      </c>
      <c r="AC54" s="144" t="s">
        <v>80</v>
      </c>
      <c r="AF54" s="144"/>
    </row>
    <row r="55" spans="1:39" s="143" customFormat="1" ht="30" x14ac:dyDescent="0.25">
      <c r="A55" s="142" t="s">
        <v>247</v>
      </c>
      <c r="B55" s="142"/>
      <c r="F55" s="143" t="s">
        <v>201</v>
      </c>
      <c r="G55" s="104" t="s">
        <v>183</v>
      </c>
      <c r="K55" s="132" t="s">
        <v>257</v>
      </c>
      <c r="L55" s="143" t="s">
        <v>8</v>
      </c>
      <c r="M55" s="143" t="s">
        <v>207</v>
      </c>
      <c r="N55" s="143">
        <v>-9.121610002700746E-2</v>
      </c>
      <c r="O55" s="143">
        <v>-9.121610002700746E-2</v>
      </c>
      <c r="P55" s="108">
        <f t="shared" si="3"/>
        <v>-9.121610002700746E-2</v>
      </c>
      <c r="Q55" s="108">
        <f t="shared" si="4"/>
        <v>-9.121610002700746E-2</v>
      </c>
      <c r="R55" s="176">
        <v>-9.121610002700746E-2</v>
      </c>
      <c r="S55" s="176">
        <v>-9.121610002700746E-2</v>
      </c>
      <c r="T55" s="147">
        <f t="shared" si="5"/>
        <v>0.57109210451691628</v>
      </c>
      <c r="U55" s="147">
        <f t="shared" si="6"/>
        <v>0.57109210451691628</v>
      </c>
      <c r="V55" s="169">
        <v>0.57109210451691628</v>
      </c>
      <c r="W55" s="169">
        <v>0.57109210451691628</v>
      </c>
      <c r="X55" s="80">
        <f t="shared" si="11"/>
        <v>0.57109210451691628</v>
      </c>
      <c r="Y55" s="80">
        <f t="shared" si="12"/>
        <v>0.57109210451691628</v>
      </c>
      <c r="Z55" s="159">
        <v>0.57109210451691628</v>
      </c>
      <c r="AA55" s="159">
        <v>0.57109210451691628</v>
      </c>
      <c r="AC55" s="144"/>
      <c r="AF55" s="144"/>
    </row>
    <row r="56" spans="1:39" ht="48.75" customHeight="1" x14ac:dyDescent="0.25">
      <c r="A56" s="131" t="s">
        <v>164</v>
      </c>
      <c r="B56" s="131" t="s">
        <v>1</v>
      </c>
      <c r="C56" s="139" t="s">
        <v>273</v>
      </c>
      <c r="D56" s="102" t="s">
        <v>22</v>
      </c>
      <c r="E56" s="102" t="s">
        <v>88</v>
      </c>
      <c r="F56" s="102" t="s">
        <v>199</v>
      </c>
      <c r="G56" s="101" t="s">
        <v>191</v>
      </c>
      <c r="I56" s="102" t="s">
        <v>89</v>
      </c>
      <c r="L56" s="102" t="s">
        <v>11</v>
      </c>
      <c r="M56" s="143" t="s">
        <v>26</v>
      </c>
      <c r="N56" s="102">
        <v>92.909090909090878</v>
      </c>
      <c r="O56" s="102">
        <v>86.999999999999943</v>
      </c>
      <c r="P56" s="108">
        <f t="shared" si="3"/>
        <v>9.2909090909090886E-2</v>
      </c>
      <c r="Q56" s="108">
        <f t="shared" si="4"/>
        <v>8.6999999999999938E-2</v>
      </c>
      <c r="R56" s="174">
        <v>9.2909090909090886E-2</v>
      </c>
      <c r="S56" s="174">
        <v>8.6999999999999938E-2</v>
      </c>
      <c r="T56" s="147" t="str">
        <f t="shared" si="5"/>
        <v/>
      </c>
      <c r="U56" s="147" t="str">
        <f t="shared" si="6"/>
        <v/>
      </c>
      <c r="V56" s="167" t="s">
        <v>258</v>
      </c>
      <c r="W56" s="167" t="s">
        <v>258</v>
      </c>
      <c r="X56" s="80" t="str">
        <f t="shared" si="11"/>
        <v/>
      </c>
      <c r="Y56" s="80" t="str">
        <f t="shared" si="12"/>
        <v/>
      </c>
      <c r="Z56" s="157" t="s">
        <v>258</v>
      </c>
      <c r="AA56" s="157" t="s">
        <v>258</v>
      </c>
      <c r="AB56" s="102">
        <v>2</v>
      </c>
      <c r="AC56" s="101" t="s">
        <v>90</v>
      </c>
    </row>
    <row r="57" spans="1:39" ht="45" x14ac:dyDescent="0.25">
      <c r="A57" s="131" t="s">
        <v>137</v>
      </c>
      <c r="B57" s="140"/>
      <c r="F57" s="102" t="s">
        <v>201</v>
      </c>
      <c r="G57" s="101" t="s">
        <v>192</v>
      </c>
      <c r="I57" s="102" t="s">
        <v>91</v>
      </c>
      <c r="L57" s="102" t="s">
        <v>11</v>
      </c>
      <c r="M57" s="143" t="s">
        <v>26</v>
      </c>
      <c r="N57" s="102">
        <v>22.999999999999972</v>
      </c>
      <c r="O57" s="102">
        <v>-75.000000000000057</v>
      </c>
      <c r="P57" s="108">
        <f t="shared" si="3"/>
        <v>2.2999999999999972E-2</v>
      </c>
      <c r="Q57" s="108">
        <f t="shared" si="4"/>
        <v>-7.5000000000000053E-2</v>
      </c>
      <c r="R57" s="174">
        <v>2.2999999999999972E-2</v>
      </c>
      <c r="S57" s="174">
        <v>-7.5000000000000053E-2</v>
      </c>
      <c r="T57" s="147">
        <f t="shared" si="5"/>
        <v>6.9909090909090921E-2</v>
      </c>
      <c r="U57" s="147">
        <f t="shared" si="6"/>
        <v>0.16199999999999998</v>
      </c>
      <c r="V57" s="167">
        <v>6.9909090909090921E-2</v>
      </c>
      <c r="W57" s="167">
        <v>0.16199999999999998</v>
      </c>
      <c r="X57" s="80" t="str">
        <f t="shared" si="11"/>
        <v/>
      </c>
      <c r="Y57" s="80" t="str">
        <f t="shared" si="12"/>
        <v/>
      </c>
      <c r="Z57" s="157" t="s">
        <v>258</v>
      </c>
      <c r="AA57" s="157" t="s">
        <v>258</v>
      </c>
    </row>
    <row r="58" spans="1:39" s="111" customFormat="1" ht="30" x14ac:dyDescent="0.25">
      <c r="A58" s="131" t="s">
        <v>138</v>
      </c>
      <c r="B58" s="141"/>
      <c r="C58" s="86"/>
      <c r="D58" s="86"/>
      <c r="E58" s="86"/>
      <c r="F58" s="86" t="s">
        <v>203</v>
      </c>
      <c r="G58" s="136" t="s">
        <v>193</v>
      </c>
      <c r="H58" s="86"/>
      <c r="I58" s="86" t="s">
        <v>92</v>
      </c>
      <c r="J58" s="86"/>
      <c r="K58" s="102" t="s">
        <v>14</v>
      </c>
      <c r="L58" s="86" t="s">
        <v>11</v>
      </c>
      <c r="M58" s="143" t="s">
        <v>26</v>
      </c>
      <c r="N58" s="86">
        <v>46.51363636363633</v>
      </c>
      <c r="O58" s="86">
        <v>-12.300000000000068</v>
      </c>
      <c r="P58" s="108">
        <f t="shared" si="3"/>
        <v>4.6513636363636333E-2</v>
      </c>
      <c r="Q58" s="108">
        <f t="shared" si="4"/>
        <v>-1.2300000000000068E-2</v>
      </c>
      <c r="R58" s="179">
        <v>4.6513636363636333E-2</v>
      </c>
      <c r="S58" s="179">
        <v>-1.2300000000000068E-2</v>
      </c>
      <c r="T58" s="147">
        <f t="shared" si="5"/>
        <v>4.6395454545454552E-2</v>
      </c>
      <c r="U58" s="147">
        <f t="shared" si="6"/>
        <v>9.9299999999999999E-2</v>
      </c>
      <c r="V58" s="172">
        <v>4.6395454545454552E-2</v>
      </c>
      <c r="W58" s="172">
        <v>9.9299999999999999E-2</v>
      </c>
      <c r="X58" s="80">
        <f t="shared" si="11"/>
        <v>6.9909090909090921E-2</v>
      </c>
      <c r="Y58" s="80">
        <f t="shared" si="12"/>
        <v>0.16199999999999998</v>
      </c>
      <c r="Z58" s="162">
        <v>6.9909090909090921E-2</v>
      </c>
      <c r="AA58" s="162">
        <v>0.16199999999999998</v>
      </c>
      <c r="AB58" s="86"/>
      <c r="AC58" s="136"/>
      <c r="AD58" s="86"/>
      <c r="AE58" s="86"/>
      <c r="AF58" s="136"/>
    </row>
    <row r="59" spans="1:39" s="143" customFormat="1" ht="45" x14ac:dyDescent="0.25">
      <c r="A59" s="131" t="s">
        <v>139</v>
      </c>
      <c r="B59" s="142"/>
      <c r="C59" s="104" t="s">
        <v>272</v>
      </c>
      <c r="D59" s="146" t="s">
        <v>23</v>
      </c>
      <c r="E59" s="142"/>
      <c r="F59" s="143" t="s">
        <v>199</v>
      </c>
      <c r="G59" s="143" t="s">
        <v>194</v>
      </c>
      <c r="L59" s="143" t="s">
        <v>12</v>
      </c>
      <c r="M59" s="143" t="s">
        <v>12</v>
      </c>
      <c r="N59" s="144">
        <v>35.450000000000003</v>
      </c>
      <c r="O59" s="144">
        <v>18.600000000000001</v>
      </c>
      <c r="P59" s="108">
        <f t="shared" si="3"/>
        <v>0.13010150000000001</v>
      </c>
      <c r="Q59" s="108">
        <f t="shared" si="4"/>
        <v>6.8262000000000003E-2</v>
      </c>
      <c r="R59" s="176">
        <v>0.13010150000000001</v>
      </c>
      <c r="S59" s="176">
        <v>6.8262000000000003E-2</v>
      </c>
      <c r="T59" s="147" t="str">
        <f t="shared" si="5"/>
        <v/>
      </c>
      <c r="U59" s="147" t="str">
        <f t="shared" si="6"/>
        <v/>
      </c>
      <c r="V59" s="169" t="s">
        <v>258</v>
      </c>
      <c r="W59" s="169" t="s">
        <v>258</v>
      </c>
      <c r="X59" s="80" t="str">
        <f t="shared" si="11"/>
        <v/>
      </c>
      <c r="Y59" s="80" t="str">
        <f t="shared" si="12"/>
        <v/>
      </c>
      <c r="Z59" s="159" t="s">
        <v>258</v>
      </c>
      <c r="AA59" s="159" t="s">
        <v>258</v>
      </c>
      <c r="AJ59" s="144"/>
      <c r="AM59" s="144"/>
    </row>
    <row r="60" spans="1:39" s="143" customFormat="1" ht="60.75" customHeight="1" x14ac:dyDescent="0.25">
      <c r="A60" s="131" t="s">
        <v>140</v>
      </c>
      <c r="B60" s="142"/>
      <c r="C60" s="142"/>
      <c r="D60" s="142"/>
      <c r="E60" s="142"/>
      <c r="F60" s="143" t="s">
        <v>201</v>
      </c>
      <c r="G60" s="143" t="s">
        <v>195</v>
      </c>
      <c r="K60" s="132" t="s">
        <v>257</v>
      </c>
      <c r="L60" s="143" t="s">
        <v>12</v>
      </c>
      <c r="M60" s="143" t="s">
        <v>12</v>
      </c>
      <c r="N60" s="144">
        <v>-66.5</v>
      </c>
      <c r="O60" s="144">
        <v>-66.5</v>
      </c>
      <c r="P60" s="108">
        <f t="shared" si="3"/>
        <v>-0.24405500000000002</v>
      </c>
      <c r="Q60" s="108">
        <f t="shared" si="4"/>
        <v>-0.24405500000000002</v>
      </c>
      <c r="R60" s="176">
        <v>-0.24405500000000002</v>
      </c>
      <c r="S60" s="176">
        <v>-0.24405500000000002</v>
      </c>
      <c r="T60" s="147">
        <f t="shared" si="5"/>
        <v>0.3741565</v>
      </c>
      <c r="U60" s="147">
        <f t="shared" si="6"/>
        <v>0.31231700000000001</v>
      </c>
      <c r="V60" s="169">
        <v>0.3741565</v>
      </c>
      <c r="W60" s="169">
        <v>0.31231700000000001</v>
      </c>
      <c r="X60" s="80">
        <f t="shared" si="11"/>
        <v>0.3741565</v>
      </c>
      <c r="Y60" s="80">
        <f t="shared" si="12"/>
        <v>0.31231700000000001</v>
      </c>
      <c r="Z60" s="159">
        <v>0.3741565</v>
      </c>
      <c r="AA60" s="159">
        <v>0.31231700000000001</v>
      </c>
      <c r="AJ60" s="144"/>
      <c r="AM60" s="144"/>
    </row>
    <row r="61" spans="1:39" s="81" customFormat="1" ht="42.75" customHeight="1" x14ac:dyDescent="0.25">
      <c r="A61" s="131" t="s">
        <v>141</v>
      </c>
      <c r="B61" s="131"/>
      <c r="C61" s="85" t="s">
        <v>15</v>
      </c>
      <c r="D61" s="85" t="s">
        <v>20</v>
      </c>
      <c r="E61" s="85" t="s">
        <v>77</v>
      </c>
      <c r="F61" s="85" t="s">
        <v>199</v>
      </c>
      <c r="G61" s="85" t="s">
        <v>182</v>
      </c>
      <c r="H61" s="85"/>
      <c r="I61" s="85" t="s">
        <v>78</v>
      </c>
      <c r="J61" s="85" t="s">
        <v>79</v>
      </c>
      <c r="K61" s="85" t="s">
        <v>27</v>
      </c>
      <c r="L61" s="85" t="s">
        <v>8</v>
      </c>
      <c r="M61" s="143" t="s">
        <v>207</v>
      </c>
      <c r="N61" s="85">
        <v>-3.9230308751136717E-3</v>
      </c>
      <c r="O61" s="85">
        <v>-3.9230308751136717E-3</v>
      </c>
      <c r="P61" s="108">
        <f t="shared" si="3"/>
        <v>-3.9230308751136717E-3</v>
      </c>
      <c r="Q61" s="108">
        <f t="shared" si="4"/>
        <v>-3.9230308751136717E-3</v>
      </c>
      <c r="R61" s="176">
        <v>-3.9230308751136717E-3</v>
      </c>
      <c r="S61" s="176">
        <v>-3.9230308751136717E-3</v>
      </c>
      <c r="T61" s="147" t="str">
        <f t="shared" si="5"/>
        <v/>
      </c>
      <c r="U61" s="147" t="str">
        <f t="shared" si="6"/>
        <v/>
      </c>
      <c r="V61" s="169" t="s">
        <v>258</v>
      </c>
      <c r="W61" s="169" t="s">
        <v>258</v>
      </c>
      <c r="X61" s="80" t="str">
        <f t="shared" si="11"/>
        <v/>
      </c>
      <c r="Y61" s="80" t="str">
        <f t="shared" si="12"/>
        <v/>
      </c>
      <c r="Z61" s="159" t="s">
        <v>258</v>
      </c>
      <c r="AA61" s="159" t="s">
        <v>258</v>
      </c>
      <c r="AB61" s="85">
        <v>2</v>
      </c>
      <c r="AC61" s="103" t="s">
        <v>80</v>
      </c>
      <c r="AD61" s="85"/>
      <c r="AE61" s="85"/>
      <c r="AF61" s="103"/>
    </row>
    <row r="62" spans="1:39" s="81" customFormat="1" ht="30" x14ac:dyDescent="0.25">
      <c r="A62" s="131" t="s">
        <v>204</v>
      </c>
      <c r="B62" s="131"/>
      <c r="C62" s="85"/>
      <c r="D62" s="85" t="s">
        <v>27</v>
      </c>
      <c r="E62" s="85"/>
      <c r="F62" s="85" t="s">
        <v>201</v>
      </c>
      <c r="G62" s="132" t="s">
        <v>183</v>
      </c>
      <c r="H62" s="85"/>
      <c r="I62" s="85"/>
      <c r="J62" s="85"/>
      <c r="K62" s="132" t="s">
        <v>257</v>
      </c>
      <c r="L62" s="85" t="s">
        <v>8</v>
      </c>
      <c r="M62" s="143" t="s">
        <v>207</v>
      </c>
      <c r="N62" s="85">
        <v>-0.15495971956699003</v>
      </c>
      <c r="O62" s="85">
        <v>-0.15495971956699003</v>
      </c>
      <c r="P62" s="108">
        <f t="shared" si="3"/>
        <v>-0.15495971956699003</v>
      </c>
      <c r="Q62" s="108">
        <f t="shared" si="4"/>
        <v>-0.15495971956699003</v>
      </c>
      <c r="R62" s="176">
        <v>-0.15495971956699003</v>
      </c>
      <c r="S62" s="176">
        <v>-0.15495971956699003</v>
      </c>
      <c r="T62" s="147">
        <f t="shared" si="5"/>
        <v>0.15103668869187636</v>
      </c>
      <c r="U62" s="147">
        <f t="shared" si="6"/>
        <v>0.15103668869187636</v>
      </c>
      <c r="V62" s="169">
        <v>0.15103668869187636</v>
      </c>
      <c r="W62" s="169">
        <v>0.15103668869187636</v>
      </c>
      <c r="X62" s="80">
        <f t="shared" si="11"/>
        <v>0.15103668869187636</v>
      </c>
      <c r="Y62" s="80">
        <f t="shared" si="12"/>
        <v>0.15103668869187636</v>
      </c>
      <c r="Z62" s="159">
        <v>0.15103668869187636</v>
      </c>
      <c r="AA62" s="159">
        <v>0.15103668869187636</v>
      </c>
      <c r="AB62" s="85"/>
      <c r="AC62" s="103"/>
      <c r="AD62" s="85"/>
      <c r="AE62" s="85"/>
      <c r="AF62" s="103"/>
    </row>
    <row r="63" spans="1:39" s="143" customFormat="1" ht="75" x14ac:dyDescent="0.25">
      <c r="A63" s="142" t="s">
        <v>122</v>
      </c>
      <c r="B63" s="142" t="s">
        <v>5</v>
      </c>
      <c r="C63" s="143" t="s">
        <v>16</v>
      </c>
      <c r="D63" s="143" t="s">
        <v>24</v>
      </c>
      <c r="E63" s="143" t="s">
        <v>75</v>
      </c>
      <c r="F63" s="143" t="s">
        <v>199</v>
      </c>
      <c r="G63" s="143" t="s">
        <v>196</v>
      </c>
      <c r="L63" s="143" t="s">
        <v>8</v>
      </c>
      <c r="M63" s="143" t="s">
        <v>207</v>
      </c>
      <c r="N63" s="143">
        <v>0.40300000000000002</v>
      </c>
      <c r="O63" s="143">
        <v>0.58199999999999996</v>
      </c>
      <c r="P63" s="108">
        <f t="shared" si="3"/>
        <v>0.40300000000000002</v>
      </c>
      <c r="Q63" s="108">
        <f t="shared" si="4"/>
        <v>0.58199999999999996</v>
      </c>
      <c r="R63" s="176">
        <v>0.40300000000000002</v>
      </c>
      <c r="S63" s="176">
        <v>0.58199999999999996</v>
      </c>
      <c r="T63" s="147" t="str">
        <f t="shared" si="5"/>
        <v/>
      </c>
      <c r="U63" s="147" t="str">
        <f t="shared" si="6"/>
        <v/>
      </c>
      <c r="V63" s="169" t="s">
        <v>258</v>
      </c>
      <c r="W63" s="169" t="s">
        <v>258</v>
      </c>
      <c r="X63" s="80" t="str">
        <f t="shared" si="11"/>
        <v/>
      </c>
      <c r="Y63" s="80" t="str">
        <f t="shared" si="12"/>
        <v/>
      </c>
      <c r="Z63" s="159" t="s">
        <v>258</v>
      </c>
      <c r="AA63" s="159" t="s">
        <v>258</v>
      </c>
      <c r="AB63" s="143">
        <v>2</v>
      </c>
      <c r="AC63" s="144" t="s">
        <v>76</v>
      </c>
      <c r="AF63" s="144"/>
    </row>
    <row r="64" spans="1:39" s="143" customFormat="1" ht="23.25" x14ac:dyDescent="0.25">
      <c r="A64" s="142" t="s">
        <v>123</v>
      </c>
      <c r="B64" s="142"/>
      <c r="C64" s="142"/>
      <c r="D64" s="143" t="s">
        <v>27</v>
      </c>
      <c r="F64" s="143" t="s">
        <v>201</v>
      </c>
      <c r="G64" s="143" t="s">
        <v>197</v>
      </c>
      <c r="K64" s="132" t="s">
        <v>257</v>
      </c>
      <c r="L64" s="143" t="s">
        <v>8</v>
      </c>
      <c r="M64" s="143" t="s">
        <v>207</v>
      </c>
      <c r="N64" s="143">
        <v>0.40300000000000002</v>
      </c>
      <c r="O64" s="144">
        <v>0.14199999999999996</v>
      </c>
      <c r="P64" s="108">
        <f t="shared" si="3"/>
        <v>0.40300000000000002</v>
      </c>
      <c r="Q64" s="108">
        <f t="shared" si="4"/>
        <v>0.14199999999999996</v>
      </c>
      <c r="R64" s="176">
        <v>0.40300000000000002</v>
      </c>
      <c r="S64" s="178">
        <v>0.14199999999999996</v>
      </c>
      <c r="T64" s="147">
        <f t="shared" si="5"/>
        <v>0</v>
      </c>
      <c r="U64" s="147">
        <f t="shared" si="6"/>
        <v>0.44</v>
      </c>
      <c r="V64" s="171">
        <v>0</v>
      </c>
      <c r="W64" s="171">
        <v>0.44</v>
      </c>
      <c r="X64" s="80">
        <f t="shared" si="11"/>
        <v>0</v>
      </c>
      <c r="Y64" s="80">
        <f t="shared" si="12"/>
        <v>0.44</v>
      </c>
      <c r="Z64" s="161">
        <v>0</v>
      </c>
      <c r="AA64" s="161">
        <v>0.44</v>
      </c>
      <c r="AB64" s="144"/>
      <c r="AC64" s="144"/>
      <c r="AF64" s="144"/>
    </row>
    <row r="65" spans="1:32" s="81" customFormat="1" ht="60" x14ac:dyDescent="0.25">
      <c r="A65" s="142" t="s">
        <v>124</v>
      </c>
      <c r="B65" s="131"/>
      <c r="C65" s="85" t="s">
        <v>15</v>
      </c>
      <c r="D65" s="85" t="s">
        <v>20</v>
      </c>
      <c r="E65" s="85" t="s">
        <v>77</v>
      </c>
      <c r="F65" s="85" t="s">
        <v>199</v>
      </c>
      <c r="G65" s="85" t="s">
        <v>182</v>
      </c>
      <c r="H65" s="85"/>
      <c r="I65" s="85" t="s">
        <v>78</v>
      </c>
      <c r="J65" s="85" t="s">
        <v>79</v>
      </c>
      <c r="K65" s="85"/>
      <c r="L65" s="85" t="s">
        <v>8</v>
      </c>
      <c r="M65" s="143" t="s">
        <v>207</v>
      </c>
      <c r="N65" s="85">
        <v>0.31497993119266066</v>
      </c>
      <c r="O65" s="85">
        <v>0.94493979357798197</v>
      </c>
      <c r="P65" s="108">
        <f t="shared" si="3"/>
        <v>0.31497993119266066</v>
      </c>
      <c r="Q65" s="108">
        <f t="shared" si="4"/>
        <v>0.94493979357798197</v>
      </c>
      <c r="R65" s="176">
        <v>0.31497993119266066</v>
      </c>
      <c r="S65" s="176">
        <v>0.94493979357798197</v>
      </c>
      <c r="T65" s="147" t="str">
        <f t="shared" si="5"/>
        <v/>
      </c>
      <c r="U65" s="147" t="str">
        <f t="shared" si="6"/>
        <v/>
      </c>
      <c r="V65" s="169" t="s">
        <v>258</v>
      </c>
      <c r="W65" s="169" t="s">
        <v>258</v>
      </c>
      <c r="X65" s="80" t="str">
        <f t="shared" si="11"/>
        <v/>
      </c>
      <c r="Y65" s="80" t="str">
        <f t="shared" si="12"/>
        <v/>
      </c>
      <c r="Z65" s="159" t="s">
        <v>258</v>
      </c>
      <c r="AA65" s="159" t="s">
        <v>258</v>
      </c>
      <c r="AB65" s="85">
        <v>2</v>
      </c>
      <c r="AC65" s="103" t="s">
        <v>80</v>
      </c>
      <c r="AD65" s="85"/>
      <c r="AE65" s="85"/>
      <c r="AF65" s="103"/>
    </row>
    <row r="66" spans="1:32" s="81" customFormat="1" ht="30" x14ac:dyDescent="0.25">
      <c r="A66" s="142" t="s">
        <v>125</v>
      </c>
      <c r="B66" s="131"/>
      <c r="C66" s="85"/>
      <c r="D66" s="85" t="s">
        <v>27</v>
      </c>
      <c r="E66" s="85"/>
      <c r="F66" s="85" t="s">
        <v>201</v>
      </c>
      <c r="G66" s="132" t="s">
        <v>183</v>
      </c>
      <c r="H66" s="85"/>
      <c r="I66" s="85"/>
      <c r="J66" s="85"/>
      <c r="K66" s="132" t="s">
        <v>257</v>
      </c>
      <c r="L66" s="85" t="s">
        <v>8</v>
      </c>
      <c r="M66" s="143" t="s">
        <v>207</v>
      </c>
      <c r="N66" s="85">
        <v>-1.6198967889908258</v>
      </c>
      <c r="O66" s="85">
        <v>-4.8596903669724778</v>
      </c>
      <c r="P66" s="108">
        <f t="shared" si="3"/>
        <v>-1.6198967889908258</v>
      </c>
      <c r="Q66" s="108">
        <f t="shared" si="4"/>
        <v>-4.8596903669724778</v>
      </c>
      <c r="R66" s="176">
        <v>-1.6198967889908258</v>
      </c>
      <c r="S66" s="176">
        <v>-4.8596903669724778</v>
      </c>
      <c r="T66" s="147">
        <f t="shared" si="5"/>
        <v>1.9348767201834864</v>
      </c>
      <c r="U66" s="147">
        <f t="shared" si="6"/>
        <v>5.8046301605504595</v>
      </c>
      <c r="V66" s="169">
        <v>1.9348767201834864</v>
      </c>
      <c r="W66" s="169">
        <v>5.8046301605504595</v>
      </c>
      <c r="X66" s="80">
        <f t="shared" si="11"/>
        <v>1.9348767201834864</v>
      </c>
      <c r="Y66" s="80">
        <f t="shared" si="12"/>
        <v>5.8046301605504595</v>
      </c>
      <c r="Z66" s="159">
        <v>1.9348767201834864</v>
      </c>
      <c r="AA66" s="159">
        <v>5.8046301605504595</v>
      </c>
      <c r="AB66" s="85"/>
      <c r="AC66" s="103"/>
      <c r="AD66" s="85"/>
      <c r="AE66" s="85"/>
      <c r="AF66" s="103"/>
    </row>
    <row r="67" spans="1:32" s="107" customFormat="1" x14ac:dyDescent="0.25">
      <c r="A67" s="85"/>
      <c r="B67" s="85"/>
      <c r="C67" s="85"/>
      <c r="D67" s="85" t="s">
        <v>27</v>
      </c>
      <c r="E67" s="85"/>
      <c r="F67" s="85"/>
      <c r="G67" s="85" t="s">
        <v>27</v>
      </c>
      <c r="H67" s="85"/>
      <c r="I67" s="85"/>
      <c r="J67" s="85"/>
      <c r="K67" s="85"/>
      <c r="L67" s="85" t="s">
        <v>27</v>
      </c>
      <c r="M67" s="143"/>
      <c r="N67" s="85" t="s">
        <v>27</v>
      </c>
      <c r="O67" s="85" t="s">
        <v>27</v>
      </c>
      <c r="P67" s="108"/>
      <c r="Q67" s="108"/>
      <c r="R67" s="176" t="s">
        <v>27</v>
      </c>
      <c r="S67" s="176" t="s">
        <v>27</v>
      </c>
      <c r="T67" s="147"/>
      <c r="U67" s="147"/>
      <c r="V67" s="169"/>
      <c r="W67" s="169"/>
      <c r="X67" s="80" t="str">
        <f t="shared" si="11"/>
        <v/>
      </c>
      <c r="Y67" s="80" t="str">
        <f t="shared" si="12"/>
        <v/>
      </c>
      <c r="Z67" s="159" t="s">
        <v>258</v>
      </c>
      <c r="AA67" s="159" t="s">
        <v>258</v>
      </c>
      <c r="AB67" s="85"/>
      <c r="AC67" s="103"/>
      <c r="AD67" s="85"/>
      <c r="AE67" s="85"/>
      <c r="AF67" s="103"/>
    </row>
    <row r="68" spans="1:32" s="107" customFormat="1" x14ac:dyDescent="0.25">
      <c r="A68" s="85"/>
      <c r="B68" s="85"/>
      <c r="C68" s="85"/>
      <c r="D68" s="85" t="s">
        <v>27</v>
      </c>
      <c r="E68" s="85"/>
      <c r="F68" s="85"/>
      <c r="G68" s="85" t="s">
        <v>27</v>
      </c>
      <c r="H68" s="85"/>
      <c r="I68" s="85"/>
      <c r="J68" s="85"/>
      <c r="K68" s="85"/>
      <c r="L68" s="85"/>
      <c r="M68" s="85"/>
      <c r="N68" s="85"/>
      <c r="O68" s="85"/>
      <c r="P68" s="108"/>
      <c r="Q68" s="108"/>
      <c r="R68" s="176"/>
      <c r="S68" s="176"/>
      <c r="T68" s="147"/>
      <c r="U68" s="147"/>
      <c r="V68" s="169"/>
      <c r="W68" s="169"/>
      <c r="X68" s="80" t="str">
        <f t="shared" ref="X68:X72" si="13">IF($K68="Added_2",SUM(V66+V68),IF($K68="Added_2.1",SUM(V67+V68),IF($K68="Added_3",SUM(V64:V68),IF($K68="Indo_UNFCCC_Exception",SUM($V$43+$V$44+$V$47+$V$48+$V$51+$V$52),IF($K68="Single Scenario",V68,IF($K68="Overlap",V67,""))))))</f>
        <v/>
      </c>
      <c r="Y68" s="80" t="str">
        <f t="shared" ref="Y68:Y72" si="14">IF($K68="Added_2",SUM(W66+W68),IF($K68="Added_2.1",SUM(W67+W68),IF($K68="Added_3",SUM(W64:W68),IF($K68="Indo_UNFCCC_Exception",SUM($W$49+W68),IF($K68="Single Scenario",W68,IF($K68="Overlap",W67,""))))))</f>
        <v/>
      </c>
      <c r="Z68" s="159" t="s">
        <v>258</v>
      </c>
      <c r="AA68" s="159" t="s">
        <v>258</v>
      </c>
      <c r="AB68" s="85"/>
      <c r="AC68" s="103"/>
      <c r="AD68" s="85"/>
      <c r="AE68" s="85"/>
      <c r="AF68" s="103"/>
    </row>
    <row r="69" spans="1:32" s="107" customFormat="1" x14ac:dyDescent="0.25">
      <c r="A69" s="85"/>
      <c r="B69" s="85"/>
      <c r="C69" s="85"/>
      <c r="D69" s="85" t="s">
        <v>27</v>
      </c>
      <c r="E69" s="85"/>
      <c r="F69" s="85"/>
      <c r="G69" s="85" t="s">
        <v>27</v>
      </c>
      <c r="H69" s="85"/>
      <c r="I69" s="85"/>
      <c r="J69" s="85"/>
      <c r="K69" s="85"/>
      <c r="L69" s="85"/>
      <c r="M69" s="85"/>
      <c r="N69" s="85"/>
      <c r="O69" s="85"/>
      <c r="P69" s="108"/>
      <c r="Q69" s="108"/>
      <c r="R69" s="176"/>
      <c r="S69" s="176"/>
      <c r="T69" s="147"/>
      <c r="U69" s="147"/>
      <c r="V69" s="169"/>
      <c r="W69" s="169"/>
      <c r="X69" s="80" t="str">
        <f t="shared" si="13"/>
        <v/>
      </c>
      <c r="Y69" s="80" t="str">
        <f t="shared" si="14"/>
        <v/>
      </c>
      <c r="Z69" s="159" t="s">
        <v>258</v>
      </c>
      <c r="AA69" s="159" t="s">
        <v>258</v>
      </c>
      <c r="AB69" s="85"/>
      <c r="AC69" s="103"/>
      <c r="AD69" s="85"/>
      <c r="AE69" s="85"/>
      <c r="AF69" s="103"/>
    </row>
    <row r="70" spans="1:32" s="107" customFormat="1" x14ac:dyDescent="0.25">
      <c r="A70" s="85"/>
      <c r="B70" s="85"/>
      <c r="C70" s="85"/>
      <c r="D70" s="85" t="s">
        <v>27</v>
      </c>
      <c r="E70" s="85"/>
      <c r="F70" s="85"/>
      <c r="G70" s="85" t="s">
        <v>27</v>
      </c>
      <c r="H70" s="85"/>
      <c r="I70" s="85"/>
      <c r="J70" s="85"/>
      <c r="K70" s="85"/>
      <c r="L70" s="85"/>
      <c r="M70" s="85"/>
      <c r="N70" s="85"/>
      <c r="O70" s="85"/>
      <c r="P70" s="108"/>
      <c r="Q70" s="108"/>
      <c r="R70" s="176"/>
      <c r="S70" s="176"/>
      <c r="T70" s="147"/>
      <c r="U70" s="147"/>
      <c r="V70" s="169"/>
      <c r="W70" s="169"/>
      <c r="X70" s="80" t="str">
        <f t="shared" si="13"/>
        <v/>
      </c>
      <c r="Y70" s="80" t="str">
        <f t="shared" si="14"/>
        <v/>
      </c>
      <c r="Z70" s="159" t="s">
        <v>258</v>
      </c>
      <c r="AA70" s="159" t="s">
        <v>258</v>
      </c>
      <c r="AB70" s="85"/>
      <c r="AC70" s="103"/>
      <c r="AD70" s="85"/>
      <c r="AE70" s="85"/>
      <c r="AF70" s="103"/>
    </row>
    <row r="71" spans="1:32" s="107" customFormat="1" x14ac:dyDescent="0.25">
      <c r="A71" s="85"/>
      <c r="B71" s="85"/>
      <c r="C71" s="85"/>
      <c r="D71" s="85" t="s">
        <v>27</v>
      </c>
      <c r="E71" s="85"/>
      <c r="F71" s="85"/>
      <c r="G71" s="85" t="s">
        <v>27</v>
      </c>
      <c r="H71" s="85"/>
      <c r="I71" s="85"/>
      <c r="J71" s="85"/>
      <c r="K71" s="85"/>
      <c r="L71" s="85"/>
      <c r="M71" s="85"/>
      <c r="N71" s="85"/>
      <c r="O71" s="85"/>
      <c r="P71" s="108"/>
      <c r="Q71" s="108"/>
      <c r="R71" s="176"/>
      <c r="S71" s="176"/>
      <c r="T71" s="147"/>
      <c r="U71" s="147"/>
      <c r="V71" s="169"/>
      <c r="W71" s="169"/>
      <c r="X71" s="80" t="str">
        <f t="shared" si="13"/>
        <v/>
      </c>
      <c r="Y71" s="80" t="str">
        <f t="shared" si="14"/>
        <v/>
      </c>
      <c r="Z71" s="159" t="s">
        <v>258</v>
      </c>
      <c r="AA71" s="159" t="s">
        <v>258</v>
      </c>
      <c r="AB71" s="85"/>
      <c r="AC71" s="103"/>
      <c r="AD71" s="85"/>
      <c r="AE71" s="85"/>
      <c r="AF71" s="103"/>
    </row>
    <row r="72" spans="1:32" s="107" customFormat="1" x14ac:dyDescent="0.25">
      <c r="A72" s="85"/>
      <c r="B72" s="85"/>
      <c r="C72" s="85"/>
      <c r="D72" s="85" t="s">
        <v>27</v>
      </c>
      <c r="E72" s="85"/>
      <c r="F72" s="85"/>
      <c r="G72" s="85" t="s">
        <v>27</v>
      </c>
      <c r="H72" s="85"/>
      <c r="I72" s="85"/>
      <c r="J72" s="85"/>
      <c r="K72" s="85"/>
      <c r="L72" s="85"/>
      <c r="M72" s="85"/>
      <c r="N72" s="85"/>
      <c r="O72" s="85"/>
      <c r="P72" s="108"/>
      <c r="Q72" s="108"/>
      <c r="R72" s="176"/>
      <c r="S72" s="176"/>
      <c r="T72" s="147"/>
      <c r="U72" s="147"/>
      <c r="V72" s="169"/>
      <c r="W72" s="169"/>
      <c r="X72" s="80" t="str">
        <f t="shared" si="13"/>
        <v/>
      </c>
      <c r="Y72" s="80" t="str">
        <f t="shared" si="14"/>
        <v/>
      </c>
      <c r="Z72" s="159" t="s">
        <v>258</v>
      </c>
      <c r="AA72" s="159" t="s">
        <v>258</v>
      </c>
      <c r="AB72" s="85"/>
      <c r="AC72" s="103"/>
      <c r="AD72" s="85"/>
      <c r="AE72" s="85"/>
      <c r="AF72" s="103"/>
    </row>
    <row r="73" spans="1:32" s="107" customFormat="1" x14ac:dyDescent="0.25">
      <c r="A73" s="85"/>
      <c r="B73" s="85"/>
      <c r="C73" s="85"/>
      <c r="D73" s="85" t="s">
        <v>27</v>
      </c>
      <c r="E73" s="85"/>
      <c r="F73" s="85"/>
      <c r="G73" s="85" t="s">
        <v>27</v>
      </c>
      <c r="H73" s="85"/>
      <c r="I73" s="85"/>
      <c r="J73" s="85"/>
      <c r="K73" s="85"/>
      <c r="L73" s="85"/>
      <c r="M73" s="85"/>
      <c r="N73" s="85"/>
      <c r="O73" s="85"/>
      <c r="P73" s="108"/>
      <c r="Q73" s="108"/>
      <c r="R73" s="176"/>
      <c r="S73" s="176"/>
      <c r="T73" s="147"/>
      <c r="U73" s="147"/>
      <c r="V73" s="169"/>
      <c r="W73" s="169"/>
      <c r="X73" s="80"/>
      <c r="Y73" s="80"/>
      <c r="Z73" s="159"/>
      <c r="AA73" s="159"/>
      <c r="AB73" s="85"/>
      <c r="AC73" s="103"/>
      <c r="AD73" s="85"/>
      <c r="AE73" s="85"/>
      <c r="AF73" s="103"/>
    </row>
    <row r="74" spans="1:32" s="107" customFormat="1" x14ac:dyDescent="0.25">
      <c r="A74" s="85"/>
      <c r="B74" s="85"/>
      <c r="C74" s="85"/>
      <c r="D74" s="85" t="s">
        <v>27</v>
      </c>
      <c r="E74" s="85"/>
      <c r="F74" s="85"/>
      <c r="G74" s="85" t="s">
        <v>27</v>
      </c>
      <c r="H74" s="85"/>
      <c r="I74" s="85"/>
      <c r="J74" s="85"/>
      <c r="K74" s="85"/>
      <c r="L74" s="85"/>
      <c r="M74" s="85"/>
      <c r="N74" s="85"/>
      <c r="O74" s="85"/>
      <c r="P74" s="108"/>
      <c r="Q74" s="108"/>
      <c r="R74" s="176"/>
      <c r="S74" s="176"/>
      <c r="T74" s="147"/>
      <c r="U74" s="147"/>
      <c r="V74" s="169"/>
      <c r="W74" s="169"/>
      <c r="X74" s="80"/>
      <c r="Y74" s="80"/>
      <c r="Z74" s="159"/>
      <c r="AA74" s="159"/>
      <c r="AB74" s="85"/>
      <c r="AC74" s="103"/>
      <c r="AD74" s="85"/>
      <c r="AE74" s="85"/>
      <c r="AF74" s="103"/>
    </row>
    <row r="75" spans="1:32" s="109" customFormat="1" ht="15.75" thickBot="1" x14ac:dyDescent="0.3">
      <c r="A75" s="84"/>
      <c r="B75" s="84"/>
      <c r="C75" s="84"/>
      <c r="D75" s="84" t="s">
        <v>27</v>
      </c>
      <c r="E75" s="84"/>
      <c r="F75" s="84"/>
      <c r="G75" s="84" t="s">
        <v>27</v>
      </c>
      <c r="H75" s="84"/>
      <c r="I75" s="84"/>
      <c r="J75" s="84"/>
      <c r="K75" s="84"/>
      <c r="L75" s="84"/>
      <c r="M75" s="84"/>
      <c r="N75" s="84"/>
      <c r="O75" s="84"/>
      <c r="P75" s="110"/>
      <c r="Q75" s="110"/>
      <c r="R75" s="180"/>
      <c r="S75" s="180"/>
      <c r="T75" s="83"/>
      <c r="U75" s="83"/>
      <c r="V75" s="173"/>
      <c r="W75" s="173"/>
      <c r="X75" s="166"/>
      <c r="Y75" s="166"/>
      <c r="Z75" s="163"/>
      <c r="AA75" s="163"/>
      <c r="AB75" s="84"/>
      <c r="AC75" s="137"/>
      <c r="AD75" s="84"/>
      <c r="AE75" s="84"/>
      <c r="AF75" s="137"/>
    </row>
    <row r="76" spans="1:32" s="99" customFormat="1" x14ac:dyDescent="0.25">
      <c r="A76" s="102"/>
      <c r="B76" s="102"/>
      <c r="C76" s="102"/>
      <c r="D76" s="102" t="s">
        <v>27</v>
      </c>
      <c r="E76" s="102"/>
      <c r="F76" s="102"/>
      <c r="G76" s="102" t="s">
        <v>27</v>
      </c>
      <c r="H76" s="102"/>
      <c r="I76" s="102"/>
      <c r="J76" s="102"/>
      <c r="K76" s="102"/>
      <c r="L76" s="102"/>
      <c r="M76" s="102"/>
      <c r="N76" s="102"/>
      <c r="O76" s="102"/>
      <c r="P76" s="90"/>
      <c r="Q76" s="90"/>
      <c r="R76" s="174"/>
      <c r="S76" s="174"/>
      <c r="T76" s="100"/>
      <c r="U76" s="100"/>
      <c r="V76" s="167"/>
      <c r="W76" s="167"/>
      <c r="X76" s="164"/>
      <c r="Y76" s="164"/>
      <c r="Z76" s="157"/>
      <c r="AA76" s="157"/>
      <c r="AB76" s="102"/>
      <c r="AC76" s="101"/>
      <c r="AD76" s="102"/>
      <c r="AE76" s="102"/>
      <c r="AF76" s="101"/>
    </row>
    <row r="77" spans="1:32" s="99" customFormat="1" x14ac:dyDescent="0.25">
      <c r="A77" s="102"/>
      <c r="B77" s="102"/>
      <c r="C77" s="102"/>
      <c r="D77" s="138" t="s">
        <v>27</v>
      </c>
      <c r="E77" s="102"/>
      <c r="F77" s="102"/>
      <c r="G77" s="102" t="s">
        <v>27</v>
      </c>
      <c r="H77" s="102"/>
      <c r="I77" s="102"/>
      <c r="J77" s="102"/>
      <c r="K77" s="102"/>
      <c r="L77" s="102"/>
      <c r="M77" s="102"/>
      <c r="N77" s="102"/>
      <c r="O77" s="102"/>
      <c r="P77" s="90"/>
      <c r="Q77" s="90"/>
      <c r="R77" s="174"/>
      <c r="S77" s="174"/>
      <c r="T77" s="100"/>
      <c r="U77" s="100"/>
      <c r="V77" s="167"/>
      <c r="W77" s="167"/>
      <c r="X77" s="164"/>
      <c r="Y77" s="164"/>
      <c r="Z77" s="157"/>
      <c r="AA77" s="157"/>
      <c r="AB77" s="102"/>
      <c r="AC77" s="101"/>
      <c r="AD77" s="102"/>
      <c r="AE77" s="102"/>
      <c r="AF77" s="101"/>
    </row>
    <row r="78" spans="1:32" s="99" customFormat="1" ht="23.25" x14ac:dyDescent="0.25">
      <c r="A78" s="140" t="s">
        <v>120</v>
      </c>
      <c r="B78" s="102"/>
      <c r="C78" s="102"/>
      <c r="D78" s="102" t="s">
        <v>27</v>
      </c>
      <c r="E78" s="102"/>
      <c r="F78" s="102"/>
      <c r="G78" s="102" t="s">
        <v>27</v>
      </c>
      <c r="H78" s="102"/>
      <c r="I78" s="102"/>
      <c r="J78" s="102"/>
      <c r="K78" s="102"/>
      <c r="L78" s="102"/>
      <c r="M78" s="102"/>
      <c r="N78" s="102"/>
      <c r="O78" s="102"/>
      <c r="P78" s="90"/>
      <c r="Q78" s="90"/>
      <c r="R78" s="174"/>
      <c r="S78" s="174"/>
      <c r="T78" s="100"/>
      <c r="U78" s="100"/>
      <c r="V78" s="167"/>
      <c r="W78" s="167"/>
      <c r="X78" s="164"/>
      <c r="Y78" s="164"/>
      <c r="Z78" s="157"/>
      <c r="AA78" s="157"/>
      <c r="AB78" s="102"/>
      <c r="AC78" s="101"/>
      <c r="AD78" s="102"/>
      <c r="AE78" s="102"/>
      <c r="AF78" s="101"/>
    </row>
    <row r="79" spans="1:32" s="99" customFormat="1" ht="90" x14ac:dyDescent="0.25">
      <c r="A79" s="102" t="s">
        <v>121</v>
      </c>
      <c r="B79" s="102"/>
      <c r="C79" s="102"/>
      <c r="D79" s="102" t="s">
        <v>27</v>
      </c>
      <c r="E79" s="102"/>
      <c r="F79" s="102"/>
      <c r="G79" s="102" t="s">
        <v>27</v>
      </c>
      <c r="H79" s="102"/>
      <c r="I79" s="102"/>
      <c r="J79" s="102"/>
      <c r="K79" s="102"/>
      <c r="L79" s="102"/>
      <c r="M79" s="102"/>
      <c r="N79" s="102"/>
      <c r="O79" s="102"/>
      <c r="P79" s="90"/>
      <c r="Q79" s="90"/>
      <c r="R79" s="174"/>
      <c r="S79" s="174"/>
      <c r="T79" s="100"/>
      <c r="U79" s="100"/>
      <c r="V79" s="167"/>
      <c r="W79" s="167"/>
      <c r="X79" s="164"/>
      <c r="Y79" s="164"/>
      <c r="Z79" s="157"/>
      <c r="AA79" s="157"/>
      <c r="AB79" s="102"/>
      <c r="AC79" s="101"/>
      <c r="AD79" s="102"/>
      <c r="AE79" s="102"/>
      <c r="AF79" s="101"/>
    </row>
    <row r="80" spans="1:32" s="99" customFormat="1" x14ac:dyDescent="0.25">
      <c r="A80" s="102"/>
      <c r="B80" s="102"/>
      <c r="C80" s="102"/>
      <c r="D80" s="102" t="s">
        <v>27</v>
      </c>
      <c r="E80" s="102"/>
      <c r="F80" s="102"/>
      <c r="G80" s="102" t="s">
        <v>27</v>
      </c>
      <c r="H80" s="102"/>
      <c r="I80" s="102"/>
      <c r="J80" s="102"/>
      <c r="K80" s="102"/>
      <c r="L80" s="102"/>
      <c r="M80" s="102"/>
      <c r="N80" s="102"/>
      <c r="O80" s="102"/>
      <c r="P80" s="90"/>
      <c r="Q80" s="90"/>
      <c r="R80" s="174"/>
      <c r="S80" s="174"/>
      <c r="T80" s="100"/>
      <c r="U80" s="100"/>
      <c r="V80" s="167"/>
      <c r="W80" s="167"/>
      <c r="X80" s="164"/>
      <c r="Y80" s="164"/>
      <c r="Z80" s="157"/>
      <c r="AA80" s="157"/>
      <c r="AB80" s="102"/>
      <c r="AC80" s="101"/>
      <c r="AD80" s="102"/>
      <c r="AE80" s="102"/>
      <c r="AF80" s="101"/>
    </row>
    <row r="81" spans="1:32" s="99" customFormat="1" x14ac:dyDescent="0.25">
      <c r="A81" s="102"/>
      <c r="B81" s="102"/>
      <c r="C81" s="102"/>
      <c r="D81" s="102" t="s">
        <v>27</v>
      </c>
      <c r="E81" s="102"/>
      <c r="F81" s="102"/>
      <c r="G81" s="102" t="s">
        <v>27</v>
      </c>
      <c r="H81" s="102"/>
      <c r="I81" s="102"/>
      <c r="J81" s="102"/>
      <c r="K81" s="102"/>
      <c r="L81" s="102"/>
      <c r="M81" s="102"/>
      <c r="N81" s="102"/>
      <c r="O81" s="102"/>
      <c r="P81" s="90"/>
      <c r="Q81" s="90"/>
      <c r="R81" s="174"/>
      <c r="S81" s="174"/>
      <c r="T81" s="100"/>
      <c r="U81" s="100"/>
      <c r="V81" s="167"/>
      <c r="W81" s="167"/>
      <c r="X81" s="164"/>
      <c r="Y81" s="164"/>
      <c r="Z81" s="157"/>
      <c r="AA81" s="157"/>
      <c r="AB81" s="102"/>
      <c r="AC81" s="101"/>
      <c r="AD81" s="102"/>
      <c r="AE81" s="102"/>
      <c r="AF81" s="101"/>
    </row>
    <row r="82" spans="1:32" s="99" customFormat="1" x14ac:dyDescent="0.25">
      <c r="A82" s="102"/>
      <c r="B82" s="102"/>
      <c r="C82" s="102"/>
      <c r="D82" s="102"/>
      <c r="E82" s="102"/>
      <c r="F82" s="102"/>
      <c r="G82" s="102"/>
      <c r="H82" s="102"/>
      <c r="I82" s="102"/>
      <c r="J82" s="102"/>
      <c r="K82" s="102"/>
      <c r="L82" s="102"/>
      <c r="M82" s="102"/>
      <c r="N82" s="102"/>
      <c r="O82" s="102"/>
      <c r="P82" s="90"/>
      <c r="Q82" s="90"/>
      <c r="R82" s="174"/>
      <c r="S82" s="174"/>
      <c r="T82" s="100"/>
      <c r="U82" s="100"/>
      <c r="V82" s="167"/>
      <c r="W82" s="167"/>
      <c r="X82" s="164"/>
      <c r="Y82" s="164"/>
      <c r="Z82" s="157"/>
      <c r="AA82" s="157"/>
      <c r="AB82" s="102"/>
      <c r="AC82" s="101"/>
      <c r="AD82" s="102"/>
      <c r="AE82" s="102"/>
      <c r="AF82" s="101"/>
    </row>
  </sheetData>
  <sortState ref="A4:V53">
    <sortCondition ref="A4:A53"/>
  </sortState>
  <hyperlinks>
    <hyperlink ref="D42" r:id="rId1"/>
    <hyperlink ref="D20" r:id="rId2"/>
    <hyperlink ref="D77" r:id="rId3" display="https://unfccc.int/files/adaptation/application/pdf/nigerianeeds.pdf"/>
    <hyperlink ref="D38" r:id="rId4"/>
    <hyperlink ref="D59" r:id="rId5"/>
    <hyperlink ref="D11" r:id="rId6"/>
    <hyperlink ref="D9" r:id="rId7"/>
    <hyperlink ref="D16"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B165"/>
  <sheetViews>
    <sheetView zoomScale="50" zoomScaleNormal="50" zoomScalePageLayoutView="60" workbookViewId="0">
      <selection activeCell="F12" sqref="F12"/>
    </sheetView>
  </sheetViews>
  <sheetFormatPr defaultRowHeight="21" x14ac:dyDescent="0.25"/>
  <cols>
    <col min="1" max="1" width="3.85546875" style="114" customWidth="1"/>
    <col min="2" max="2" width="29.28515625" style="115" customWidth="1"/>
    <col min="3" max="3" width="56.42578125" style="116" customWidth="1"/>
    <col min="4" max="5" width="42.85546875" style="116" customWidth="1"/>
    <col min="6" max="6" width="88.42578125" style="116" customWidth="1"/>
    <col min="7" max="7" width="26.140625" style="1" customWidth="1"/>
    <col min="8" max="8" width="17.140625" style="1" customWidth="1"/>
    <col min="9" max="9" width="15" style="117" customWidth="1"/>
    <col min="10" max="10" width="13" style="118" customWidth="1"/>
    <col min="11" max="11" width="18.28515625" style="117" customWidth="1"/>
    <col min="12" max="12" width="19.7109375" style="1" customWidth="1"/>
    <col min="13" max="13" width="19.7109375" style="117" customWidth="1"/>
    <col min="14" max="14" width="19.7109375" style="118" customWidth="1"/>
    <col min="15" max="16" width="19.7109375" style="1" customWidth="1"/>
    <col min="17" max="17" width="4.5703125" style="1" customWidth="1"/>
    <col min="18" max="18" width="4" style="1" customWidth="1"/>
    <col min="19" max="19" width="9.140625" style="1"/>
    <col min="20" max="20" width="82" style="1" customWidth="1"/>
    <col min="21" max="16384" width="9.140625" style="1"/>
  </cols>
  <sheetData>
    <row r="2" spans="1:20" x14ac:dyDescent="0.25">
      <c r="T2" s="5"/>
    </row>
    <row r="3" spans="1:20" x14ac:dyDescent="0.25">
      <c r="C3" s="119"/>
      <c r="D3" s="119"/>
      <c r="E3" s="119"/>
      <c r="F3" s="119"/>
      <c r="G3" s="62"/>
      <c r="H3" s="62"/>
      <c r="I3" s="227" t="str">
        <f>'III. Database'!N3</f>
        <v>As reported in study</v>
      </c>
      <c r="J3" s="228"/>
      <c r="K3" s="227" t="s">
        <v>44</v>
      </c>
      <c r="L3" s="228"/>
      <c r="M3" s="227" t="s">
        <v>49</v>
      </c>
      <c r="N3" s="228"/>
      <c r="O3" s="227" t="s">
        <v>51</v>
      </c>
      <c r="P3" s="229"/>
      <c r="T3" s="4"/>
    </row>
    <row r="4" spans="1:20" s="3" customFormat="1" ht="87" customHeight="1" thickBot="1" x14ac:dyDescent="0.3">
      <c r="A4" s="120"/>
      <c r="B4" s="121" t="str">
        <f>'III. Database'!B4</f>
        <v>Country</v>
      </c>
      <c r="C4" s="121" t="str">
        <f>'III. Database'!C4</f>
        <v>Source</v>
      </c>
      <c r="D4" s="121" t="str">
        <f>'III. Database'!D4</f>
        <v>Link</v>
      </c>
      <c r="E4" s="121" t="str">
        <f>'III. Database'!F4</f>
        <v>Scenario Code</v>
      </c>
      <c r="F4" s="121" t="str">
        <f>'III. Database'!G4</f>
        <v>Scenario Name</v>
      </c>
      <c r="G4" s="121" t="str">
        <f>'III. Database'!K4</f>
        <v>Are estimates to be added (i.e. complementary) or overlapping?</v>
      </c>
      <c r="H4" s="121" t="str">
        <f>'III. Database'!L4</f>
        <v>Unit in study</v>
      </c>
      <c r="I4" s="122">
        <f>'III. Database'!N4</f>
        <v>2020</v>
      </c>
      <c r="J4" s="122">
        <f>'III. Database'!O4</f>
        <v>2030</v>
      </c>
      <c r="K4" s="122" t="str">
        <f>'III. Database'!R4</f>
        <v>2020  (GT CO2eq)</v>
      </c>
      <c r="L4" s="122" t="str">
        <f>'III. Database'!S4</f>
        <v>2030 (GT CO2eq)</v>
      </c>
      <c r="M4" s="122" t="str">
        <f>'III. Database'!V4</f>
        <v>Mitigation (baseline-action) 2020 (GT CO2eq)</v>
      </c>
      <c r="N4" s="122" t="str">
        <f>'III. Database'!W4</f>
        <v>Mitigation (baseline-action) 2030 (GT CO2eq)</v>
      </c>
      <c r="O4" s="122" t="str">
        <f>'III. Database'!Z4</f>
        <v>Country total 2030</v>
      </c>
      <c r="P4" s="122" t="str">
        <f>'III. Database'!AA4</f>
        <v>Country Total 2020</v>
      </c>
      <c r="Q4" s="123"/>
      <c r="R4" s="5"/>
      <c r="S4" s="5"/>
      <c r="T4" s="4"/>
    </row>
    <row r="5" spans="1:20" ht="47.25" x14ac:dyDescent="0.25">
      <c r="B5" s="115" t="str">
        <f>'III. Database'!B5</f>
        <v>Brazil</v>
      </c>
      <c r="C5" s="124" t="str">
        <f>'III. Database'!C5</f>
        <v>McKinsey. Pathways to a Low-Carbon Economy for Brazil. Sao Paulo: McKinsey &amp; Company, 2009.</v>
      </c>
      <c r="D5" s="124" t="str">
        <f>'III. Database'!D5</f>
        <v>http://www.mckinsey.com/client_service/sustainability/latest_thinking/greenhouse_gas_abatement_cost_curves</v>
      </c>
      <c r="E5" s="124" t="str">
        <f>'III. Database'!F5</f>
        <v>Reference_1</v>
      </c>
      <c r="F5" s="124" t="str">
        <f>'III. Database'!G5</f>
        <v xml:space="preserve"> "Baseline Agriculture (2005 estimates)"</v>
      </c>
      <c r="G5" s="1">
        <f>'III. Database'!K5</f>
        <v>0</v>
      </c>
      <c r="H5" s="125" t="str">
        <f>'III. Database'!L5</f>
        <v>GtCO2e</v>
      </c>
      <c r="I5" s="126">
        <f>'III. Database'!N5</f>
        <v>0.59</v>
      </c>
      <c r="J5" s="126">
        <f>'III. Database'!O5</f>
        <v>0.82</v>
      </c>
      <c r="K5" s="126">
        <f>'III. Database'!R5</f>
        <v>0.59</v>
      </c>
      <c r="L5" s="126">
        <f>'III. Database'!S5</f>
        <v>0.82</v>
      </c>
      <c r="M5" s="126" t="str">
        <f>'III. Database'!V5</f>
        <v/>
      </c>
      <c r="N5" s="126" t="str">
        <f>'III. Database'!W5</f>
        <v/>
      </c>
      <c r="O5" s="126" t="str">
        <f>'III. Database'!Z5</f>
        <v/>
      </c>
      <c r="P5" s="126" t="str">
        <f>'III. Database'!AA5</f>
        <v/>
      </c>
      <c r="T5" s="4"/>
    </row>
    <row r="6" spans="1:20" ht="47.25" customHeight="1" x14ac:dyDescent="0.25">
      <c r="B6" s="115">
        <f>'III. Database'!B6</f>
        <v>0</v>
      </c>
      <c r="C6" s="124">
        <f>'III. Database'!C6</f>
        <v>0</v>
      </c>
      <c r="D6" s="124">
        <f>'III. Database'!D6</f>
        <v>0</v>
      </c>
      <c r="E6" s="124" t="str">
        <f>'III. Database'!F6</f>
        <v>Abatement_1</v>
      </c>
      <c r="F6" s="124" t="str">
        <f>'III. Database'!G6</f>
        <v>"Agriculture"</v>
      </c>
      <c r="G6" s="1">
        <f>'III. Database'!K6</f>
        <v>0</v>
      </c>
      <c r="H6" s="125" t="str">
        <f>'III. Database'!L6</f>
        <v>GtCO2e</v>
      </c>
      <c r="I6" s="126">
        <f>'III. Database'!N6</f>
        <v>0.59</v>
      </c>
      <c r="J6" s="126">
        <f>'III. Database'!O6</f>
        <v>0.55999999999999994</v>
      </c>
      <c r="K6" s="126">
        <f>'III. Database'!R6</f>
        <v>0.59</v>
      </c>
      <c r="L6" s="126">
        <f>'III. Database'!S6</f>
        <v>0.55999999999999994</v>
      </c>
      <c r="M6" s="126">
        <f>'III. Database'!V6</f>
        <v>0</v>
      </c>
      <c r="N6" s="126">
        <f>'III. Database'!W6</f>
        <v>0.26</v>
      </c>
      <c r="O6" s="126" t="str">
        <f>'III. Database'!Z6</f>
        <v/>
      </c>
      <c r="P6" s="126" t="str">
        <f>'III. Database'!AA6</f>
        <v/>
      </c>
    </row>
    <row r="7" spans="1:20" ht="47.25" customHeight="1" x14ac:dyDescent="0.25">
      <c r="B7" s="115">
        <f>'III. Database'!B7</f>
        <v>0</v>
      </c>
      <c r="C7" s="124">
        <f>'III. Database'!C7</f>
        <v>0</v>
      </c>
      <c r="D7" s="124">
        <f>'III. Database'!D7</f>
        <v>0</v>
      </c>
      <c r="E7" s="124" t="str">
        <f>'III. Database'!F7</f>
        <v>Reference_2</v>
      </c>
      <c r="F7" s="124" t="str">
        <f>'III. Database'!G7</f>
        <v>"Baseline Forestry (2005 estimates)"</v>
      </c>
      <c r="G7" s="1">
        <f>'III. Database'!K7</f>
        <v>0</v>
      </c>
      <c r="H7" s="125" t="str">
        <f>'III. Database'!L7</f>
        <v>GtCO2e</v>
      </c>
      <c r="I7" s="126">
        <f>'III. Database'!N7</f>
        <v>1.2</v>
      </c>
      <c r="J7" s="126">
        <f>'III. Database'!O7</f>
        <v>1.2</v>
      </c>
      <c r="K7" s="126">
        <f>'III. Database'!R7</f>
        <v>1.2</v>
      </c>
      <c r="L7" s="126">
        <f>'III. Database'!S7</f>
        <v>1.2</v>
      </c>
      <c r="M7" s="126" t="str">
        <f>'III. Database'!V7</f>
        <v/>
      </c>
      <c r="N7" s="126" t="str">
        <f>'III. Database'!W7</f>
        <v/>
      </c>
      <c r="O7" s="126" t="str">
        <f>'III. Database'!Z7</f>
        <v/>
      </c>
      <c r="P7" s="126" t="str">
        <f>'III. Database'!AA7</f>
        <v/>
      </c>
    </row>
    <row r="8" spans="1:20" ht="47.25" customHeight="1" x14ac:dyDescent="0.25">
      <c r="B8" s="115">
        <f>'III. Database'!B8</f>
        <v>0</v>
      </c>
      <c r="C8" s="124">
        <f>'III. Database'!C8</f>
        <v>0</v>
      </c>
      <c r="D8" s="124">
        <f>'III. Database'!D8</f>
        <v>0</v>
      </c>
      <c r="E8" s="124" t="str">
        <f>'III. Database'!F8</f>
        <v>Abatement_2</v>
      </c>
      <c r="F8" s="124" t="str">
        <f>'III. Database'!G8</f>
        <v xml:space="preserve"> "Forestry"</v>
      </c>
      <c r="G8" s="1" t="str">
        <f>'III. Database'!K8</f>
        <v>Added_2</v>
      </c>
      <c r="H8" s="125" t="str">
        <f>'III. Database'!L8</f>
        <v>GtCO2e</v>
      </c>
      <c r="I8" s="126">
        <f>'III. Database'!N8</f>
        <v>1.2</v>
      </c>
      <c r="J8" s="126">
        <f>'III. Database'!O8</f>
        <v>-0.16000000000000014</v>
      </c>
      <c r="K8" s="126">
        <f>'III. Database'!R8</f>
        <v>1.2</v>
      </c>
      <c r="L8" s="126">
        <f>'III. Database'!S8</f>
        <v>-0.16000000000000014</v>
      </c>
      <c r="M8" s="126">
        <f>'III. Database'!V8</f>
        <v>0</v>
      </c>
      <c r="N8" s="126">
        <f>'III. Database'!W8</f>
        <v>1.36</v>
      </c>
      <c r="O8" s="126">
        <f>'III. Database'!Z8</f>
        <v>0</v>
      </c>
      <c r="P8" s="126">
        <f>'III. Database'!AA8</f>
        <v>1.62</v>
      </c>
    </row>
    <row r="9" spans="1:20" ht="47.25" x14ac:dyDescent="0.25">
      <c r="B9" s="115">
        <f>'III. Database'!B9</f>
        <v>0</v>
      </c>
      <c r="C9" s="124" t="str">
        <f>'III. Database'!C9</f>
        <v>de Gouvello, Christophe. "Brazil Low-Carbon Country Case Study." 2010. Clean Energy Solutions Center. Report. 21 November 2014.</v>
      </c>
      <c r="D9" s="124" t="str">
        <f>'III. Database'!D9</f>
        <v>https://cleanenergysolutions.org/content/brazil-low-carbon-country-case-study</v>
      </c>
      <c r="E9" s="124" t="str">
        <f>'III. Database'!F9</f>
        <v>Reference_1</v>
      </c>
      <c r="F9" s="124" t="str">
        <f>'III. Database'!G9</f>
        <v xml:space="preserve"> "Reference" </v>
      </c>
      <c r="G9" s="1">
        <f>'III. Database'!K9</f>
        <v>0</v>
      </c>
      <c r="H9" s="125" t="str">
        <f>'III. Database'!L9</f>
        <v>MtCO2e</v>
      </c>
      <c r="I9" s="126">
        <f>'III. Database'!N9</f>
        <v>800</v>
      </c>
      <c r="J9" s="126">
        <f>'III. Database'!O9</f>
        <v>895</v>
      </c>
      <c r="K9" s="126">
        <f>'III. Database'!R9</f>
        <v>0.8</v>
      </c>
      <c r="L9" s="126">
        <f>'III. Database'!S9</f>
        <v>0.89500000000000002</v>
      </c>
      <c r="M9" s="126" t="str">
        <f>'III. Database'!V9</f>
        <v/>
      </c>
      <c r="N9" s="126" t="str">
        <f>'III. Database'!W9</f>
        <v/>
      </c>
      <c r="O9" s="126" t="str">
        <f>'III. Database'!Z9</f>
        <v/>
      </c>
      <c r="P9" s="126" t="str">
        <f>'III. Database'!AA9</f>
        <v/>
      </c>
    </row>
    <row r="10" spans="1:20" ht="47.25" customHeight="1" x14ac:dyDescent="0.25">
      <c r="B10" s="115">
        <f>'III. Database'!B10</f>
        <v>0</v>
      </c>
      <c r="C10" s="124">
        <f>'III. Database'!C10</f>
        <v>0</v>
      </c>
      <c r="D10" s="124">
        <f>'III. Database'!D10</f>
        <v>0</v>
      </c>
      <c r="E10" s="124" t="str">
        <f>'III. Database'!F10</f>
        <v>Abatement_1</v>
      </c>
      <c r="F10" s="124" t="str">
        <f>'III. Database'!G10</f>
        <v>"Low Carbon Scenario"</v>
      </c>
      <c r="G10" s="1" t="str">
        <f>'III. Database'!K10</f>
        <v>Single Scenario</v>
      </c>
      <c r="H10" s="125" t="str">
        <f>'III. Database'!L10</f>
        <v>MtCO2e</v>
      </c>
      <c r="I10" s="126">
        <f>'III. Database'!N10</f>
        <v>350</v>
      </c>
      <c r="J10" s="126">
        <f>'III. Database'!O10</f>
        <v>321</v>
      </c>
      <c r="K10" s="126">
        <f>'III. Database'!R10</f>
        <v>0.35000000000000003</v>
      </c>
      <c r="L10" s="126">
        <f>'III. Database'!S10</f>
        <v>0.32100000000000001</v>
      </c>
      <c r="M10" s="126">
        <f>'III. Database'!V10</f>
        <v>0.45</v>
      </c>
      <c r="N10" s="126">
        <f>'III. Database'!W10</f>
        <v>0.57400000000000007</v>
      </c>
      <c r="O10" s="126">
        <f>'III. Database'!Z10</f>
        <v>0.45</v>
      </c>
      <c r="P10" s="126">
        <f>'III. Database'!AA10</f>
        <v>0.57400000000000007</v>
      </c>
    </row>
    <row r="11" spans="1:20" ht="47.25" customHeight="1" x14ac:dyDescent="0.25">
      <c r="B11" s="115">
        <f>'III. Database'!B11</f>
        <v>0</v>
      </c>
      <c r="C11" s="124" t="str">
        <f>'III. Database'!C11</f>
        <v>Strassburg, Bernardo B. N., et al. "When enough should be enough: Improving the use of current agricultural lands could meet production demands and spare natural habitats in Brazil." Global Environmental Change (2014): 84-97.</v>
      </c>
      <c r="D11" s="124" t="str">
        <f>'III. Database'!D11</f>
        <v>http://www.sciencedirect.com/science/article/pii/S0959378014001046</v>
      </c>
      <c r="E11" s="124" t="str">
        <f>'III. Database'!F11</f>
        <v>Reference_1</v>
      </c>
      <c r="F11" s="124" t="str">
        <f>'III. Database'!G11</f>
        <v>"Business as Usual"</v>
      </c>
      <c r="G11" s="1">
        <f>'III. Database'!K11</f>
        <v>0</v>
      </c>
      <c r="H11" s="125" t="str">
        <f>'III. Database'!L11</f>
        <v>Gt CO2</v>
      </c>
      <c r="I11" s="126">
        <f>'III. Database'!N11</f>
        <v>0.33</v>
      </c>
      <c r="J11" s="126">
        <f>'III. Database'!O11</f>
        <v>0.33</v>
      </c>
      <c r="K11" s="126">
        <f>'III. Database'!R11</f>
        <v>0.33</v>
      </c>
      <c r="L11" s="126">
        <f>'III. Database'!S11</f>
        <v>0.33</v>
      </c>
      <c r="M11" s="126" t="str">
        <f>'III. Database'!V11</f>
        <v/>
      </c>
      <c r="N11" s="126" t="str">
        <f>'III. Database'!W11</f>
        <v/>
      </c>
      <c r="O11" s="126" t="str">
        <f>'III. Database'!Z11</f>
        <v/>
      </c>
      <c r="P11" s="126" t="str">
        <f>'III. Database'!AA11</f>
        <v/>
      </c>
    </row>
    <row r="12" spans="1:20" ht="47.25" customHeight="1" x14ac:dyDescent="0.25">
      <c r="B12" s="115">
        <f>'III. Database'!B12</f>
        <v>0</v>
      </c>
      <c r="C12" s="124">
        <f>'III. Database'!C12</f>
        <v>0</v>
      </c>
      <c r="D12" s="124">
        <f>'III. Database'!D12</f>
        <v>0</v>
      </c>
      <c r="E12" s="124" t="str">
        <f>'III. Database'!F12</f>
        <v>Abatement_1</v>
      </c>
      <c r="F12" s="124" t="str">
        <f>'III. Database'!G12</f>
        <v>"Forest Management"</v>
      </c>
      <c r="G12" s="1">
        <f>'III. Database'!K12</f>
        <v>0</v>
      </c>
      <c r="H12" s="125" t="str">
        <f>'III. Database'!L12</f>
        <v>Gt CO2</v>
      </c>
      <c r="I12" s="126">
        <f>'III. Database'!N12</f>
        <v>-8.666666666666667E-2</v>
      </c>
      <c r="J12" s="126">
        <f>'III. Database'!O12</f>
        <v>-8.666666666666667E-2</v>
      </c>
      <c r="K12" s="126">
        <f>'III. Database'!R12</f>
        <v>-8.666666666666667E-2</v>
      </c>
      <c r="L12" s="126">
        <f>'III. Database'!S12</f>
        <v>-8.666666666666667E-2</v>
      </c>
      <c r="M12" s="126">
        <f>'III. Database'!V12</f>
        <v>0.41666666666666669</v>
      </c>
      <c r="N12" s="126">
        <f>'III. Database'!W12</f>
        <v>0.41666666666666669</v>
      </c>
      <c r="O12" s="126" t="str">
        <f>'III. Database'!Z12</f>
        <v/>
      </c>
      <c r="P12" s="126" t="str">
        <f>'III. Database'!AA12</f>
        <v/>
      </c>
    </row>
    <row r="13" spans="1:20" ht="47.25" customHeight="1" x14ac:dyDescent="0.25">
      <c r="B13" s="115">
        <f>'III. Database'!B13</f>
        <v>0</v>
      </c>
      <c r="C13" s="124">
        <f>'III. Database'!C13</f>
        <v>0</v>
      </c>
      <c r="D13" s="124">
        <f>'III. Database'!D13</f>
        <v>0</v>
      </c>
      <c r="E13" s="124" t="str">
        <f>'III. Database'!F13</f>
        <v>Abatement_1.1</v>
      </c>
      <c r="F13" s="124" t="str">
        <f>'III. Database'!G13</f>
        <v>"Cattle Management"</v>
      </c>
      <c r="G13" s="1" t="str">
        <f>'III. Database'!K13</f>
        <v>Added_2.1</v>
      </c>
      <c r="H13" s="125" t="str">
        <f>'III. Database'!L13</f>
        <v>Gt CO2</v>
      </c>
      <c r="I13" s="126">
        <f>'III. Database'!N13</f>
        <v>0.27</v>
      </c>
      <c r="J13" s="126">
        <f>'III. Database'!O13</f>
        <v>0.27</v>
      </c>
      <c r="K13" s="126">
        <f>'III. Database'!R13</f>
        <v>0.27</v>
      </c>
      <c r="L13" s="126">
        <f>'III. Database'!S13</f>
        <v>0.27</v>
      </c>
      <c r="M13" s="126">
        <f>'III. Database'!V13</f>
        <v>0.06</v>
      </c>
      <c r="N13" s="126">
        <f>'III. Database'!W13</f>
        <v>0.06</v>
      </c>
      <c r="O13" s="126">
        <f>'III. Database'!Z13</f>
        <v>0.47666666666666668</v>
      </c>
      <c r="P13" s="126">
        <f>'III. Database'!AA13</f>
        <v>0.47666666666666668</v>
      </c>
    </row>
    <row r="14" spans="1:20" ht="47.25" x14ac:dyDescent="0.25">
      <c r="B14" s="115">
        <f>'III. Database'!B14</f>
        <v>0</v>
      </c>
      <c r="C14" s="124" t="str">
        <f>'III. Database'!C14</f>
        <v>Bajželj, Bojana, et al. "Importance of food-demand management for climate mitigation." Nature Climate Change (2014): 924-929.</v>
      </c>
      <c r="D14" s="124" t="str">
        <f>'III. Database'!D14</f>
        <v>http://www.nature.com/nclimate/journal/v4/n10/full/nclimate2353.html</v>
      </c>
      <c r="E14" s="124" t="str">
        <f>'III. Database'!F14</f>
        <v>Reference_1</v>
      </c>
      <c r="F14" s="124" t="str">
        <f>'III. Database'!G14</f>
        <v>"Scenario CT1 (BAU): Current yield rates "</v>
      </c>
      <c r="G14" s="1">
        <f>'III. Database'!K14</f>
        <v>0</v>
      </c>
      <c r="H14" s="125" t="str">
        <f>'III. Database'!L14</f>
        <v>GtCO2e</v>
      </c>
      <c r="I14" s="126">
        <f>'III. Database'!N14</f>
        <v>-6.6612372500788469E-3</v>
      </c>
      <c r="J14" s="126">
        <f>'III. Database'!O14</f>
        <v>-6.6612372500788469E-3</v>
      </c>
      <c r="K14" s="126">
        <f>'III. Database'!R14</f>
        <v>-6.6612372500788469E-3</v>
      </c>
      <c r="L14" s="126">
        <f>'III. Database'!S14</f>
        <v>-6.6612372500788469E-3</v>
      </c>
      <c r="M14" s="126" t="str">
        <f>'III. Database'!V14</f>
        <v/>
      </c>
      <c r="N14" s="126" t="str">
        <f>'III. Database'!W14</f>
        <v/>
      </c>
      <c r="O14" s="126" t="str">
        <f>'III. Database'!Z14</f>
        <v/>
      </c>
      <c r="P14" s="126" t="str">
        <f>'III. Database'!AA14</f>
        <v/>
      </c>
    </row>
    <row r="15" spans="1:20" ht="47.25" customHeight="1" x14ac:dyDescent="0.25">
      <c r="B15" s="115">
        <f>'III. Database'!B15</f>
        <v>0</v>
      </c>
      <c r="C15" s="124">
        <f>'III. Database'!C15</f>
        <v>0</v>
      </c>
      <c r="D15" s="124">
        <f>'III. Database'!D15</f>
        <v>0</v>
      </c>
      <c r="E15" s="124" t="str">
        <f>'III. Database'!F15</f>
        <v>Abatement_1</v>
      </c>
      <c r="F15" s="124" t="str">
        <f>'III. Database'!G15</f>
        <v>"Scenario YG3: Closure of yield gap; With 50% food waste reduction; With Healthy Diets"</v>
      </c>
      <c r="G15" s="1" t="str">
        <f>'III. Database'!K15</f>
        <v>Single Scenario</v>
      </c>
      <c r="H15" s="125" t="str">
        <f>'III. Database'!L15</f>
        <v>GtCO2e</v>
      </c>
      <c r="I15" s="126">
        <f>'III. Database'!N15</f>
        <v>-0.26311887137811446</v>
      </c>
      <c r="J15" s="126">
        <f>'III. Database'!O15</f>
        <v>-0.26311887137811446</v>
      </c>
      <c r="K15" s="126">
        <f>'III. Database'!R15</f>
        <v>-0.26311887137811446</v>
      </c>
      <c r="L15" s="126">
        <f>'III. Database'!S15</f>
        <v>-0.26311887137811446</v>
      </c>
      <c r="M15" s="126">
        <f>'III. Database'!V15</f>
        <v>0.25645763412803563</v>
      </c>
      <c r="N15" s="126">
        <f>'III. Database'!W15</f>
        <v>0.25645763412803563</v>
      </c>
      <c r="O15" s="126">
        <f>'III. Database'!Z15</f>
        <v>0.25645763412803563</v>
      </c>
      <c r="P15" s="126">
        <f>'III. Database'!AA15</f>
        <v>0.25645763412803563</v>
      </c>
    </row>
    <row r="16" spans="1:20" s="77" customFormat="1" ht="47.25" x14ac:dyDescent="0.25">
      <c r="A16" s="127"/>
      <c r="B16" s="115" t="str">
        <f>'III. Database'!B16</f>
        <v>China</v>
      </c>
      <c r="C16" s="124" t="str">
        <f>'III. Database'!C16</f>
        <v>Woetzel, Jonathan, Martin Joerss and R. Bradley. "China's green revolution: prioritizing Technologies to achieve energy and environmental sustainability." 2009.</v>
      </c>
      <c r="D16" s="124" t="str">
        <f>'III. Database'!D16</f>
        <v>http://www.mckinsey.com/client_service/sustainability/latest_thinking/greenhouse_gas_abatement_cost_curves</v>
      </c>
      <c r="E16" s="124" t="str">
        <f>'III. Database'!F16</f>
        <v>Reference_1</v>
      </c>
      <c r="F16" s="124" t="str">
        <f>'III. Database'!G16</f>
        <v>"Baseline Forestry and Agriculture"</v>
      </c>
      <c r="G16" s="1">
        <f>'III. Database'!K16</f>
        <v>0</v>
      </c>
      <c r="H16" s="125" t="str">
        <f>'III. Database'!L16</f>
        <v>Gt CO2e</v>
      </c>
      <c r="I16" s="126">
        <f>'III. Database'!N16</f>
        <v>0.8</v>
      </c>
      <c r="J16" s="126">
        <f>'III. Database'!O16</f>
        <v>0.9</v>
      </c>
      <c r="K16" s="126">
        <f>'III. Database'!R16</f>
        <v>0.8</v>
      </c>
      <c r="L16" s="126">
        <f>'III. Database'!S16</f>
        <v>0.9</v>
      </c>
      <c r="M16" s="126" t="str">
        <f>'III. Database'!V16</f>
        <v/>
      </c>
      <c r="N16" s="126" t="str">
        <f>'III. Database'!W16</f>
        <v/>
      </c>
      <c r="O16" s="126" t="str">
        <f>'III. Database'!Z16</f>
        <v/>
      </c>
      <c r="P16" s="126" t="str">
        <f>'III. Database'!AA16</f>
        <v/>
      </c>
    </row>
    <row r="17" spans="2:16" ht="47.25" customHeight="1" x14ac:dyDescent="0.25">
      <c r="B17" s="115">
        <f>'III. Database'!B17</f>
        <v>0</v>
      </c>
      <c r="C17" s="124">
        <f>'III. Database'!C17</f>
        <v>0</v>
      </c>
      <c r="D17" s="124">
        <f>'III. Database'!D17</f>
        <v>0</v>
      </c>
      <c r="E17" s="124" t="str">
        <f>'III. Database'!F17</f>
        <v>Abatement_1</v>
      </c>
      <c r="F17" s="124" t="str">
        <f>'III. Database'!G17</f>
        <v>"Abatement Forestry and Agriculture"</v>
      </c>
      <c r="G17" s="1" t="str">
        <f>'III. Database'!K17</f>
        <v>Single Scenario</v>
      </c>
      <c r="H17" s="125" t="str">
        <f>'III. Database'!L17</f>
        <v>Gt CO2e</v>
      </c>
      <c r="I17" s="126" t="str">
        <f>'III. Database'!N17</f>
        <v>N/A</v>
      </c>
      <c r="J17" s="126">
        <f>'III. Database'!O17</f>
        <v>0.1</v>
      </c>
      <c r="K17" s="126" t="str">
        <f>'III. Database'!R17</f>
        <v>N/A</v>
      </c>
      <c r="L17" s="126">
        <f>'III. Database'!S17</f>
        <v>0.1</v>
      </c>
      <c r="M17" s="126" t="str">
        <f>'III. Database'!V17</f>
        <v>N/A</v>
      </c>
      <c r="N17" s="126">
        <f>'III. Database'!W17</f>
        <v>0.8</v>
      </c>
      <c r="O17" s="126" t="str">
        <f>'III. Database'!Z17</f>
        <v>N/A</v>
      </c>
      <c r="P17" s="126">
        <f>'III. Database'!AA17</f>
        <v>0.8</v>
      </c>
    </row>
    <row r="18" spans="2:16" ht="47.25" customHeight="1" x14ac:dyDescent="0.25">
      <c r="B18" s="115">
        <f>'III. Database'!B18</f>
        <v>0</v>
      </c>
      <c r="C18" s="124" t="str">
        <f>'III. Database'!C18</f>
        <v>Bajželj, Bojana, et al. "Importance of food-demand management for climate mitigation." Nature Climate Change (2014): 924-929.</v>
      </c>
      <c r="D18" s="124" t="str">
        <f>'III. Database'!D18</f>
        <v>http://www.nature.com/nclimate/journal/v4/n10/full/nclimate2353.html</v>
      </c>
      <c r="E18" s="124" t="str">
        <f>'III. Database'!F18</f>
        <v>Reference_1</v>
      </c>
      <c r="F18" s="124" t="str">
        <f>'III. Database'!G18</f>
        <v>"Scenario CT1 (BAU): Current yield rates "</v>
      </c>
      <c r="G18" s="1">
        <f>'III. Database'!K18</f>
        <v>0</v>
      </c>
      <c r="H18" s="125" t="str">
        <f>'III. Database'!L18</f>
        <v>GtCO2e</v>
      </c>
      <c r="I18" s="126">
        <f>'III. Database'!N18</f>
        <v>0.47609189762448167</v>
      </c>
      <c r="J18" s="126">
        <f>'III. Database'!O18</f>
        <v>0.47609189762448167</v>
      </c>
      <c r="K18" s="126" t="str">
        <f>'III. Database'!R18</f>
        <v>As Values</v>
      </c>
      <c r="L18" s="126">
        <f>'III. Database'!S18</f>
        <v>0.47609189762448167</v>
      </c>
      <c r="M18" s="126" t="str">
        <f>'III. Database'!V18</f>
        <v/>
      </c>
      <c r="N18" s="126" t="str">
        <f>'III. Database'!W18</f>
        <v/>
      </c>
      <c r="O18" s="126" t="str">
        <f>'III. Database'!Z18</f>
        <v/>
      </c>
      <c r="P18" s="126" t="str">
        <f>'III. Database'!AA18</f>
        <v/>
      </c>
    </row>
    <row r="19" spans="2:16" ht="47.25" customHeight="1" x14ac:dyDescent="0.25">
      <c r="B19" s="115">
        <f>'III. Database'!B19</f>
        <v>0</v>
      </c>
      <c r="C19" s="124">
        <f>'III. Database'!C19</f>
        <v>0</v>
      </c>
      <c r="D19" s="124">
        <f>'III. Database'!D19</f>
        <v>0</v>
      </c>
      <c r="E19" s="124" t="str">
        <f>'III. Database'!F19</f>
        <v>Abatement_1</v>
      </c>
      <c r="F19" s="124" t="str">
        <f>'III. Database'!G19</f>
        <v>"Scenario YG3: Closure of yield gap; With 50% food waste reduction; With Healthy Diets"</v>
      </c>
      <c r="G19" s="1" t="str">
        <f>'III. Database'!K19</f>
        <v>Single Scenario</v>
      </c>
      <c r="H19" s="125" t="str">
        <f>'III. Database'!L19</f>
        <v>GtCO2e</v>
      </c>
      <c r="I19" s="126">
        <f>'III. Database'!N19</f>
        <v>-0.69713456437870525</v>
      </c>
      <c r="J19" s="126">
        <f>'III. Database'!O19</f>
        <v>-0.69713456437870525</v>
      </c>
      <c r="K19" s="126">
        <f>'III. Database'!R19</f>
        <v>-0.69713456437870525</v>
      </c>
      <c r="L19" s="126">
        <f>'III. Database'!S19</f>
        <v>-0.69713456437870525</v>
      </c>
      <c r="M19" s="126">
        <f>'III. Database'!V19</f>
        <v>1.1732264620031869</v>
      </c>
      <c r="N19" s="126">
        <f>'III. Database'!W19</f>
        <v>1.1732264620031869</v>
      </c>
      <c r="O19" s="126">
        <f>'III. Database'!Z19</f>
        <v>1.1732264620031869</v>
      </c>
      <c r="P19" s="126">
        <f>'III. Database'!AA19</f>
        <v>1.1732264620031869</v>
      </c>
    </row>
    <row r="20" spans="2:16" ht="47.25" x14ac:dyDescent="0.25">
      <c r="B20" s="115" t="str">
        <f>'III. Database'!B20</f>
        <v>Democratic Republic of the Congo</v>
      </c>
      <c r="C20" s="124" t="str">
        <f>'III. Database'!C20</f>
        <v>The Ministry of the Environment, Nature Conservation and Tourism. "The Democratic Republic of congo's REDD+ Potential." 2009.</v>
      </c>
      <c r="D20" s="124" t="str">
        <f>'III. Database'!D20</f>
        <v>http://unfccc.int/files/methods/redd/submissions/application/pdf/redd_20100708_drc_2-20091211.pdf</v>
      </c>
      <c r="E20" s="124" t="str">
        <f>'III. Database'!F20</f>
        <v>Reference_1</v>
      </c>
      <c r="F20" s="124" t="str">
        <f>'III. Database'!G20</f>
        <v>BAU_Group I Forestry and other activities</v>
      </c>
      <c r="G20" s="1">
        <f>'III. Database'!K20</f>
        <v>0</v>
      </c>
      <c r="H20" s="125" t="str">
        <f>'III. Database'!L20</f>
        <v>MtCO2e</v>
      </c>
      <c r="I20" s="126">
        <f>'III. Database'!N20</f>
        <v>738.33</v>
      </c>
      <c r="J20" s="126">
        <f>'III. Database'!O20</f>
        <v>940</v>
      </c>
      <c r="K20" s="126">
        <f>'III. Database'!R20</f>
        <v>0.73833000000000004</v>
      </c>
      <c r="L20" s="126">
        <f>'III. Database'!S20</f>
        <v>0.94000000000000006</v>
      </c>
      <c r="M20" s="126" t="str">
        <f>'III. Database'!V20</f>
        <v/>
      </c>
      <c r="N20" s="126" t="str">
        <f>'III. Database'!W20</f>
        <v/>
      </c>
      <c r="O20" s="126" t="str">
        <f>'III. Database'!Z20</f>
        <v/>
      </c>
      <c r="P20" s="126" t="str">
        <f>'III. Database'!AA20</f>
        <v/>
      </c>
    </row>
    <row r="21" spans="2:16" ht="47.25" customHeight="1" x14ac:dyDescent="0.25">
      <c r="B21" s="115">
        <f>'III. Database'!B21</f>
        <v>0</v>
      </c>
      <c r="C21" s="124">
        <f>'III. Database'!C21</f>
        <v>0</v>
      </c>
      <c r="D21" s="124">
        <f>'III. Database'!D21</f>
        <v>0</v>
      </c>
      <c r="E21" s="124" t="str">
        <f>'III. Database'!F21</f>
        <v>Abatement_1</v>
      </c>
      <c r="F21" s="124" t="str">
        <f>'III. Database'!G21</f>
        <v>Abatement _Group I Forestry and other activities</v>
      </c>
      <c r="G21" s="1">
        <f>'III. Database'!K21</f>
        <v>0</v>
      </c>
      <c r="H21" s="125" t="str">
        <f>'III. Database'!L21</f>
        <v>MtCO2e</v>
      </c>
      <c r="I21" s="126">
        <f>'III. Database'!N21</f>
        <v>729.42899999999997</v>
      </c>
      <c r="J21" s="126">
        <f>'III. Database'!O21</f>
        <v>931.09500000000003</v>
      </c>
      <c r="K21" s="126">
        <f>'III. Database'!R21</f>
        <v>0.72942899999999999</v>
      </c>
      <c r="L21" s="126">
        <f>'III. Database'!S21</f>
        <v>0.93109500000000001</v>
      </c>
      <c r="M21" s="126">
        <f>'III. Database'!V21</f>
        <v>8.9010000000000478E-3</v>
      </c>
      <c r="N21" s="126">
        <f>'III. Database'!W21</f>
        <v>8.9050000000000518E-3</v>
      </c>
      <c r="O21" s="126" t="str">
        <f>'III. Database'!Z21</f>
        <v/>
      </c>
      <c r="P21" s="126" t="str">
        <f>'III. Database'!AA21</f>
        <v/>
      </c>
    </row>
    <row r="22" spans="2:16" ht="57.75" customHeight="1" x14ac:dyDescent="0.25">
      <c r="B22" s="115">
        <f>'III. Database'!B22</f>
        <v>0</v>
      </c>
      <c r="C22" s="124">
        <f>'III. Database'!C22</f>
        <v>0</v>
      </c>
      <c r="D22" s="124">
        <f>'III. Database'!D22</f>
        <v>0</v>
      </c>
      <c r="E22" s="124" t="str">
        <f>'III. Database'!F22</f>
        <v>Reference_2</v>
      </c>
      <c r="F22" s="124" t="str">
        <f>'III. Database'!G22</f>
        <v>BAU_Group II Agriculture and livestock</v>
      </c>
      <c r="G22" s="1">
        <f>'III. Database'!K22</f>
        <v>0</v>
      </c>
      <c r="H22" s="125" t="str">
        <f>'III. Database'!L22</f>
        <v>MtCO2e</v>
      </c>
      <c r="I22" s="126">
        <f>'III. Database'!N22</f>
        <v>1720.83</v>
      </c>
      <c r="J22" s="126">
        <f>'III. Database'!O22</f>
        <v>300</v>
      </c>
      <c r="K22" s="126">
        <f>'III. Database'!R22</f>
        <v>1.7208299999999999</v>
      </c>
      <c r="L22" s="126">
        <f>'III. Database'!S22</f>
        <v>0.3</v>
      </c>
      <c r="M22" s="126" t="str">
        <f>'III. Database'!V22</f>
        <v/>
      </c>
      <c r="N22" s="126" t="str">
        <f>'III. Database'!W22</f>
        <v/>
      </c>
      <c r="O22" s="126" t="str">
        <f>'III. Database'!Z22</f>
        <v/>
      </c>
      <c r="P22" s="126" t="str">
        <f>'III. Database'!AA22</f>
        <v/>
      </c>
    </row>
    <row r="23" spans="2:16" ht="47.25" customHeight="1" x14ac:dyDescent="0.25">
      <c r="B23" s="115">
        <f>'III. Database'!B23</f>
        <v>0</v>
      </c>
      <c r="C23" s="124">
        <f>'III. Database'!C23</f>
        <v>0</v>
      </c>
      <c r="D23" s="124">
        <f>'III. Database'!D23</f>
        <v>0</v>
      </c>
      <c r="E23" s="124" t="str">
        <f>'III. Database'!F23</f>
        <v>Abatement_2</v>
      </c>
      <c r="F23" s="124" t="str">
        <f>'III. Database'!G23</f>
        <v>Abatement_Group II Agriculture and livestock</v>
      </c>
      <c r="G23" s="1">
        <f>'III. Database'!K23</f>
        <v>0</v>
      </c>
      <c r="H23" s="125" t="str">
        <f>'III. Database'!L23</f>
        <v>MtCO2e</v>
      </c>
      <c r="I23" s="126">
        <f>'III. Database'!N23</f>
        <v>1712.095</v>
      </c>
      <c r="J23" s="126">
        <f>'III. Database'!O23</f>
        <v>291.262</v>
      </c>
      <c r="K23" s="126">
        <f>'III. Database'!R23</f>
        <v>1.7120950000000001</v>
      </c>
      <c r="L23" s="126">
        <f>'III. Database'!S23</f>
        <v>0.29126200000000002</v>
      </c>
      <c r="M23" s="126">
        <f>'III. Database'!V23</f>
        <v>8.7349999999997152E-3</v>
      </c>
      <c r="N23" s="126">
        <f>'III. Database'!W23</f>
        <v>8.737999999999968E-3</v>
      </c>
      <c r="O23" s="126" t="str">
        <f>'III. Database'!Z23</f>
        <v/>
      </c>
      <c r="P23" s="126" t="str">
        <f>'III. Database'!AA23</f>
        <v/>
      </c>
    </row>
    <row r="24" spans="2:16" ht="47.25" customHeight="1" x14ac:dyDescent="0.25">
      <c r="B24" s="115">
        <f>'III. Database'!B24</f>
        <v>0</v>
      </c>
      <c r="C24" s="124">
        <f>'III. Database'!C24</f>
        <v>0</v>
      </c>
      <c r="D24" s="124">
        <f>'III. Database'!D24</f>
        <v>0</v>
      </c>
      <c r="E24" s="124" t="str">
        <f>'III. Database'!F24</f>
        <v>Reference_3</v>
      </c>
      <c r="F24" s="124" t="str">
        <f>'III. Database'!G24</f>
        <v xml:space="preserve">BAU_Group III Urban growth and industrial sectors' impact on forest </v>
      </c>
      <c r="G24" s="1">
        <f>'III. Database'!K24</f>
        <v>0</v>
      </c>
      <c r="H24" s="125" t="str">
        <f>'III. Database'!L24</f>
        <v>MtCO2e</v>
      </c>
      <c r="I24" s="126">
        <f>'III. Database'!N24</f>
        <v>1140.625</v>
      </c>
      <c r="J24" s="126">
        <f>'III. Database'!O24</f>
        <v>625</v>
      </c>
      <c r="K24" s="126">
        <f>'III. Database'!R24</f>
        <v>1.140625</v>
      </c>
      <c r="L24" s="126">
        <f>'III. Database'!S24</f>
        <v>0.625</v>
      </c>
      <c r="M24" s="126" t="str">
        <f>'III. Database'!V24</f>
        <v/>
      </c>
      <c r="N24" s="126" t="str">
        <f>'III. Database'!W24</f>
        <v/>
      </c>
      <c r="O24" s="126" t="str">
        <f>'III. Database'!Z24</f>
        <v/>
      </c>
      <c r="P24" s="126" t="str">
        <f>'III. Database'!AA24</f>
        <v/>
      </c>
    </row>
    <row r="25" spans="2:16" ht="47.25" customHeight="1" x14ac:dyDescent="0.25">
      <c r="B25" s="115">
        <f>'III. Database'!B25</f>
        <v>0</v>
      </c>
      <c r="C25" s="124">
        <f>'III. Database'!C25</f>
        <v>0</v>
      </c>
      <c r="D25" s="124">
        <f>'III. Database'!D25</f>
        <v>0</v>
      </c>
      <c r="E25" s="124" t="str">
        <f>'III. Database'!F25</f>
        <v>Abatement_3</v>
      </c>
      <c r="F25" s="124" t="str">
        <f>'III. Database'!G25</f>
        <v>Abatement_Group III Urban growth and industrial sectors' impact on forest</v>
      </c>
      <c r="G25" s="1" t="str">
        <f>'III. Database'!K25</f>
        <v>Added_3</v>
      </c>
      <c r="H25" s="125" t="str">
        <f>'III. Database'!L25</f>
        <v>MtCO2e</v>
      </c>
      <c r="I25" s="126">
        <f>'III. Database'!N25</f>
        <v>1138.1488099999999</v>
      </c>
      <c r="J25" s="126">
        <f>'III. Database'!O25</f>
        <v>622.524</v>
      </c>
      <c r="K25" s="126">
        <f>'III. Database'!R25</f>
        <v>1.1381488099999999</v>
      </c>
      <c r="L25" s="126">
        <f>'III. Database'!S25</f>
        <v>0.62252399999999997</v>
      </c>
      <c r="M25" s="126">
        <f>'III. Database'!V25</f>
        <v>2.4761900000001003E-3</v>
      </c>
      <c r="N25" s="126">
        <f>'III. Database'!W25</f>
        <v>2.4760000000000337E-3</v>
      </c>
      <c r="O25" s="126">
        <f>'III. Database'!Z25</f>
        <v>2.0112189999999863E-2</v>
      </c>
      <c r="P25" s="126">
        <f>'III. Database'!AA25</f>
        <v>2.0119000000000054E-2</v>
      </c>
    </row>
    <row r="26" spans="2:16" ht="47.25" customHeight="1" x14ac:dyDescent="0.25">
      <c r="B26" s="115">
        <f>'III. Database'!B26</f>
        <v>0</v>
      </c>
      <c r="C26" s="124" t="str">
        <f>'III. Database'!C26</f>
        <v>Bajželj, Bojana, et al. "Importance of food-demand management for climate mitigation." Nature Climate Change (2014): 924-929.</v>
      </c>
      <c r="D26" s="124" t="str">
        <f>'III. Database'!D26</f>
        <v>http://www.nature.com/nclimate/journal/v4/n10/full/nclimate2353.html</v>
      </c>
      <c r="E26" s="124" t="str">
        <f>'III. Database'!F26</f>
        <v>Reference_1</v>
      </c>
      <c r="F26" s="124" t="str">
        <f>'III. Database'!G26</f>
        <v>"Scenario CT1 (BAU): Current yield rates "</v>
      </c>
      <c r="G26" s="1">
        <f>'III. Database'!K26</f>
        <v>0</v>
      </c>
      <c r="H26" s="125" t="str">
        <f>'III. Database'!L26</f>
        <v>GtCO2e</v>
      </c>
      <c r="I26" s="126">
        <f>'III. Database'!N26</f>
        <v>2.6989724713283772E-2</v>
      </c>
      <c r="J26" s="126">
        <f>'III. Database'!O26</f>
        <v>2.6989724713283772E-2</v>
      </c>
      <c r="K26" s="126">
        <f>'III. Database'!R26</f>
        <v>2.6989724713283772E-2</v>
      </c>
      <c r="L26" s="126">
        <f>'III. Database'!S26</f>
        <v>2.6989724713283772E-2</v>
      </c>
      <c r="M26" s="126" t="str">
        <f>'III. Database'!V26</f>
        <v/>
      </c>
      <c r="N26" s="126" t="str">
        <f>'III. Database'!W26</f>
        <v/>
      </c>
      <c r="O26" s="126" t="str">
        <f>'III. Database'!Z26</f>
        <v/>
      </c>
      <c r="P26" s="126" t="str">
        <f>'III. Database'!AA26</f>
        <v/>
      </c>
    </row>
    <row r="27" spans="2:16" ht="47.25" customHeight="1" x14ac:dyDescent="0.25">
      <c r="B27" s="115">
        <f>'III. Database'!B27</f>
        <v>0</v>
      </c>
      <c r="C27" s="124">
        <f>'III. Database'!C27</f>
        <v>0</v>
      </c>
      <c r="D27" s="124">
        <f>'III. Database'!D27</f>
        <v>0</v>
      </c>
      <c r="E27" s="124" t="str">
        <f>'III. Database'!F27</f>
        <v>Abatement_1</v>
      </c>
      <c r="F27" s="124" t="str">
        <f>'III. Database'!G27</f>
        <v>"Scenario YG3: Closure of yield gap; With 50% food waste reduction; With Healthy Diets"</v>
      </c>
      <c r="G27" s="1" t="str">
        <f>'III. Database'!K27</f>
        <v>Single Scenario</v>
      </c>
      <c r="H27" s="125" t="str">
        <f>'III. Database'!L27</f>
        <v>GtCO2e</v>
      </c>
      <c r="I27" s="126">
        <f>'III. Database'!N27</f>
        <v>5.8119466196746763E-3</v>
      </c>
      <c r="J27" s="126">
        <f>'III. Database'!O27</f>
        <v>5.8119466196746763E-3</v>
      </c>
      <c r="K27" s="126">
        <f>'III. Database'!R27</f>
        <v>5.8119466196746763E-3</v>
      </c>
      <c r="L27" s="126">
        <f>'III. Database'!S27</f>
        <v>5.8119466196746763E-3</v>
      </c>
      <c r="M27" s="126">
        <f>'III. Database'!V27</f>
        <v>2.1177778093609094E-2</v>
      </c>
      <c r="N27" s="126">
        <f>'III. Database'!W27</f>
        <v>2.1177778093609094E-2</v>
      </c>
      <c r="O27" s="126">
        <f>'III. Database'!Z27</f>
        <v>2.1177778093609094E-2</v>
      </c>
      <c r="P27" s="126">
        <f>'III. Database'!AA27</f>
        <v>2.1177778093609094E-2</v>
      </c>
    </row>
    <row r="28" spans="2:16" ht="47.25" x14ac:dyDescent="0.25">
      <c r="B28" s="115" t="str">
        <f>'III. Database'!B28</f>
        <v>European Union</v>
      </c>
      <c r="C28" s="124" t="str">
        <f>'III. Database'!C28</f>
        <v>Wesselink, Bart and Yvonne Deng. "Sectoral Emission Reduction Potentials and Economic Costs for Climate Change." 2009.</v>
      </c>
      <c r="D28" s="124" t="str">
        <f>'III. Database'!D28</f>
        <v>http://www.ecofys.com/files/files/serpec_executive_summary.pdf</v>
      </c>
      <c r="E28" s="124" t="str">
        <f>'III. Database'!F28</f>
        <v>Reference_1</v>
      </c>
      <c r="F28" s="124" t="str">
        <f>'III. Database'!G28</f>
        <v>"Baseline Agriculture"</v>
      </c>
      <c r="G28" s="1" t="str">
        <f>'III. Database'!K28</f>
        <v xml:space="preserve"> </v>
      </c>
      <c r="H28" s="125" t="str">
        <f>'III. Database'!L28</f>
        <v>MtCO2e</v>
      </c>
      <c r="I28" s="126">
        <f>'III. Database'!N28</f>
        <v>487</v>
      </c>
      <c r="J28" s="126">
        <f>'III. Database'!O28</f>
        <v>487</v>
      </c>
      <c r="K28" s="126">
        <f>'III. Database'!R28</f>
        <v>0.48699999999999999</v>
      </c>
      <c r="L28" s="126">
        <f>'III. Database'!S28</f>
        <v>0.48699999999999999</v>
      </c>
      <c r="M28" s="126" t="str">
        <f>'III. Database'!V28</f>
        <v/>
      </c>
      <c r="N28" s="126" t="str">
        <f>'III. Database'!W28</f>
        <v/>
      </c>
      <c r="O28" s="126" t="str">
        <f>'III. Database'!Z28</f>
        <v/>
      </c>
      <c r="P28" s="126" t="str">
        <f>'III. Database'!AA28</f>
        <v/>
      </c>
    </row>
    <row r="29" spans="2:16" ht="47.25" customHeight="1" x14ac:dyDescent="0.25">
      <c r="B29" s="115">
        <f>'III. Database'!B29</f>
        <v>0</v>
      </c>
      <c r="C29" s="124">
        <f>'III. Database'!C29</f>
        <v>0</v>
      </c>
      <c r="D29" s="124" t="str">
        <f>'III. Database'!D29</f>
        <v xml:space="preserve"> </v>
      </c>
      <c r="E29" s="124" t="str">
        <f>'III. Database'!F29</f>
        <v>Abatement_1</v>
      </c>
      <c r="F29" s="124" t="str">
        <f>'III. Database'!G29</f>
        <v>"Reduced Agriculture"</v>
      </c>
      <c r="G29" s="1" t="str">
        <f>'III. Database'!K29</f>
        <v>Single Scenario</v>
      </c>
      <c r="H29" s="125" t="str">
        <f>'III. Database'!L29</f>
        <v>MtCO2e</v>
      </c>
      <c r="I29" s="126">
        <f>'III. Database'!N29</f>
        <v>326</v>
      </c>
      <c r="J29" s="126">
        <f>'III. Database'!O29</f>
        <v>328</v>
      </c>
      <c r="K29" s="126">
        <f>'III. Database'!R29</f>
        <v>0.32600000000000001</v>
      </c>
      <c r="L29" s="126">
        <f>'III. Database'!S29</f>
        <v>0.32800000000000001</v>
      </c>
      <c r="M29" s="126">
        <f>'III. Database'!V29</f>
        <v>0.16099999999999998</v>
      </c>
      <c r="N29" s="126">
        <f>'III. Database'!W29</f>
        <v>0.15899999999999997</v>
      </c>
      <c r="O29" s="126">
        <f>'III. Database'!Z29</f>
        <v>0.16099999999999998</v>
      </c>
      <c r="P29" s="126">
        <f>'III. Database'!AA29</f>
        <v>0.15899999999999997</v>
      </c>
    </row>
    <row r="30" spans="2:16" ht="47.25" x14ac:dyDescent="0.25">
      <c r="B30" s="115">
        <f>'III. Database'!B30</f>
        <v>0</v>
      </c>
      <c r="C30" s="124" t="str">
        <f>'III. Database'!C30</f>
        <v>Bajželj, Bojana, et al. "Importance of food-demand management for climate mitigation." Nature Climate Change (2014): 924-929.</v>
      </c>
      <c r="D30" s="124" t="str">
        <f>'III. Database'!D30</f>
        <v>http://www.nature.com/nclimate/journal/v4/n10/full/nclimate2353.html</v>
      </c>
      <c r="E30" s="124" t="str">
        <f>'III. Database'!F30</f>
        <v>Reference_1</v>
      </c>
      <c r="F30" s="124" t="str">
        <f>'III. Database'!G30</f>
        <v>"Scenario CT1 (BAU): Current yield rates "</v>
      </c>
      <c r="G30" s="1" t="str">
        <f>'III. Database'!K30</f>
        <v xml:space="preserve"> </v>
      </c>
      <c r="H30" s="125" t="str">
        <f>'III. Database'!L30</f>
        <v>GtCO2e</v>
      </c>
      <c r="I30" s="126">
        <f>'III. Database'!N30</f>
        <v>-5.0272605427163441E-2</v>
      </c>
      <c r="J30" s="126">
        <f>'III. Database'!O30</f>
        <v>-5.0272605427163441E-2</v>
      </c>
      <c r="K30" s="126">
        <f>'III. Database'!R30</f>
        <v>-5.0272605427163441E-2</v>
      </c>
      <c r="L30" s="126">
        <f>'III. Database'!S30</f>
        <v>-5.0272605427163441E-2</v>
      </c>
      <c r="M30" s="126" t="str">
        <f>'III. Database'!V30</f>
        <v/>
      </c>
      <c r="N30" s="126" t="str">
        <f>'III. Database'!W30</f>
        <v/>
      </c>
      <c r="O30" s="126" t="str">
        <f>'III. Database'!Z30</f>
        <v/>
      </c>
      <c r="P30" s="126" t="str">
        <f>'III. Database'!AA30</f>
        <v/>
      </c>
    </row>
    <row r="31" spans="2:16" ht="75.75" customHeight="1" x14ac:dyDescent="0.25">
      <c r="B31" s="115">
        <f>'III. Database'!B31</f>
        <v>0</v>
      </c>
      <c r="C31" s="124">
        <f>'III. Database'!C31</f>
        <v>0</v>
      </c>
      <c r="D31" s="124" t="str">
        <f>'III. Database'!D31</f>
        <v xml:space="preserve"> </v>
      </c>
      <c r="E31" s="124" t="str">
        <f>'III. Database'!F31</f>
        <v>Abatement_1</v>
      </c>
      <c r="F31" s="124" t="str">
        <f>'III. Database'!G31</f>
        <v>"Scenario YG3: Closure of yield gap; With 50% food waste reduction; With Healthy Diets"</v>
      </c>
      <c r="G31" s="1" t="str">
        <f>'III. Database'!K31</f>
        <v>Single Scenario</v>
      </c>
      <c r="H31" s="125" t="str">
        <f>'III. Database'!L31</f>
        <v>GtCO2e</v>
      </c>
      <c r="I31" s="126">
        <f>'III. Database'!N31</f>
        <v>-0.73610887448760731</v>
      </c>
      <c r="J31" s="126">
        <f>'III. Database'!O31</f>
        <v>-0.73610887448760731</v>
      </c>
      <c r="K31" s="126">
        <f>'III. Database'!R31</f>
        <v>-0.73610887448760731</v>
      </c>
      <c r="L31" s="126">
        <f>'III. Database'!S31</f>
        <v>-0.73610887448760731</v>
      </c>
      <c r="M31" s="126">
        <f>'III. Database'!V31</f>
        <v>0.68583626906044381</v>
      </c>
      <c r="N31" s="126">
        <f>'III. Database'!W31</f>
        <v>0.68583626906044381</v>
      </c>
      <c r="O31" s="126">
        <f>'III. Database'!Z31</f>
        <v>0.68583626906044381</v>
      </c>
      <c r="P31" s="126">
        <f>'III. Database'!AA31</f>
        <v>0.68583626906044381</v>
      </c>
    </row>
    <row r="32" spans="2:16" ht="47.25" x14ac:dyDescent="0.25">
      <c r="B32" s="115" t="str">
        <f>'III. Database'!B32</f>
        <v>India</v>
      </c>
      <c r="C32" s="124" t="str">
        <f>'III. Database'!C32</f>
        <v>Gupta, Rajat, Shirish Sankhe and Sahana Sarma. Environmental and Energy Sustainability: An Approach for India. New Delhi: McKinsey &amp; Company, 2009.</v>
      </c>
      <c r="D32" s="124">
        <f>'III. Database'!D32</f>
        <v>0</v>
      </c>
      <c r="E32" s="124" t="str">
        <f>'III. Database'!F32</f>
        <v>Reference_1</v>
      </c>
      <c r="F32" s="124" t="str">
        <f>'III. Database'!G32</f>
        <v>"Agriculture"</v>
      </c>
      <c r="G32" s="1">
        <f>'III. Database'!K32</f>
        <v>0</v>
      </c>
      <c r="H32" s="125" t="str">
        <f>'III. Database'!L32</f>
        <v>MtCO2e</v>
      </c>
      <c r="I32" s="126">
        <f>'III. Database'!N32</f>
        <v>529</v>
      </c>
      <c r="J32" s="126">
        <f>'III. Database'!O32</f>
        <v>640</v>
      </c>
      <c r="K32" s="126">
        <f>'III. Database'!R32</f>
        <v>0.52900000000000003</v>
      </c>
      <c r="L32" s="126">
        <f>'III. Database'!S32</f>
        <v>0.64</v>
      </c>
      <c r="M32" s="126" t="str">
        <f>'III. Database'!V32</f>
        <v/>
      </c>
      <c r="N32" s="126" t="str">
        <f>'III. Database'!W32</f>
        <v/>
      </c>
      <c r="O32" s="126" t="str">
        <f>'III. Database'!Z32</f>
        <v/>
      </c>
      <c r="P32" s="126" t="str">
        <f>'III. Database'!AA32</f>
        <v/>
      </c>
    </row>
    <row r="33" spans="1:17" ht="47.25" customHeight="1" x14ac:dyDescent="0.25">
      <c r="B33" s="115">
        <f>'III. Database'!B33</f>
        <v>0</v>
      </c>
      <c r="C33" s="124">
        <f>'III. Database'!C33</f>
        <v>0</v>
      </c>
      <c r="D33" s="124">
        <f>'III. Database'!D33</f>
        <v>0</v>
      </c>
      <c r="E33" s="124" t="str">
        <f>'III. Database'!F33</f>
        <v>Abatement_1</v>
      </c>
      <c r="F33" s="124" t="str">
        <f>'III. Database'!G33</f>
        <v>"Agriculture"</v>
      </c>
      <c r="G33" s="1">
        <f>'III. Database'!K33</f>
        <v>0</v>
      </c>
      <c r="H33" s="125" t="str">
        <f>'III. Database'!L33</f>
        <v>MtCO2e</v>
      </c>
      <c r="I33" s="126">
        <f>'III. Database'!N33</f>
        <v>529</v>
      </c>
      <c r="J33" s="126">
        <f>'III. Database'!O33</f>
        <v>445</v>
      </c>
      <c r="K33" s="126">
        <f>'III. Database'!R33</f>
        <v>0.52900000000000003</v>
      </c>
      <c r="L33" s="126">
        <f>'III. Database'!S33</f>
        <v>0.44500000000000001</v>
      </c>
      <c r="M33" s="126">
        <f>'III. Database'!V33</f>
        <v>0</v>
      </c>
      <c r="N33" s="126">
        <f>'III. Database'!W33</f>
        <v>0.19500000000000001</v>
      </c>
      <c r="O33" s="126" t="str">
        <f>'III. Database'!Z33</f>
        <v/>
      </c>
      <c r="P33" s="126" t="str">
        <f>'III. Database'!AA33</f>
        <v/>
      </c>
    </row>
    <row r="34" spans="1:17" x14ac:dyDescent="0.25">
      <c r="B34" s="115">
        <f>'III. Database'!B34</f>
        <v>0</v>
      </c>
      <c r="C34" s="124">
        <f>'III. Database'!C34</f>
        <v>0</v>
      </c>
      <c r="D34" s="124">
        <f>'III. Database'!D34</f>
        <v>0</v>
      </c>
      <c r="E34" s="124" t="str">
        <f>'III. Database'!F34</f>
        <v>Reference_2</v>
      </c>
      <c r="F34" s="124" t="str">
        <f>'III. Database'!G34</f>
        <v>"Forestry"</v>
      </c>
      <c r="G34" s="1">
        <f>'III. Database'!K34</f>
        <v>0</v>
      </c>
      <c r="H34" s="125" t="str">
        <f>'III. Database'!L34</f>
        <v>MtCO2e</v>
      </c>
      <c r="I34" s="126">
        <f>'III. Database'!N34</f>
        <v>-45</v>
      </c>
      <c r="J34" s="126">
        <f>'III. Database'!O34</f>
        <v>-90</v>
      </c>
      <c r="K34" s="126">
        <f>'III. Database'!R34</f>
        <v>-4.4999999999999998E-2</v>
      </c>
      <c r="L34" s="126">
        <f>'III. Database'!S34</f>
        <v>-0.09</v>
      </c>
      <c r="M34" s="126" t="str">
        <f>'III. Database'!V34</f>
        <v/>
      </c>
      <c r="N34" s="126" t="str">
        <f>'III. Database'!W34</f>
        <v/>
      </c>
      <c r="O34" s="126" t="str">
        <f>'III. Database'!Z34</f>
        <v/>
      </c>
      <c r="P34" s="126" t="str">
        <f>'III. Database'!AA34</f>
        <v/>
      </c>
    </row>
    <row r="35" spans="1:17" ht="47.25" customHeight="1" x14ac:dyDescent="0.25">
      <c r="B35" s="115">
        <f>'III. Database'!B35</f>
        <v>0</v>
      </c>
      <c r="C35" s="124">
        <f>'III. Database'!C35</f>
        <v>0</v>
      </c>
      <c r="D35" s="124">
        <f>'III. Database'!D35</f>
        <v>0</v>
      </c>
      <c r="E35" s="124" t="str">
        <f>'III. Database'!F35</f>
        <v>Abatement_2</v>
      </c>
      <c r="F35" s="124" t="str">
        <f>'III. Database'!G35</f>
        <v>"Forestry"</v>
      </c>
      <c r="G35" s="1" t="str">
        <f>'III. Database'!K35</f>
        <v>Added_2</v>
      </c>
      <c r="H35" s="125" t="str">
        <f>'III. Database'!L35</f>
        <v>MtCO2e</v>
      </c>
      <c r="I35" s="126">
        <f>'III. Database'!N35</f>
        <v>-45</v>
      </c>
      <c r="J35" s="126">
        <f>'III. Database'!O35</f>
        <v>-292</v>
      </c>
      <c r="K35" s="126">
        <f>'III. Database'!R35</f>
        <v>-4.4999999999999998E-2</v>
      </c>
      <c r="L35" s="126">
        <f>'III. Database'!S35</f>
        <v>-0.29199999999999998</v>
      </c>
      <c r="M35" s="126">
        <f>'III. Database'!V35</f>
        <v>0</v>
      </c>
      <c r="N35" s="126">
        <f>'III. Database'!W35</f>
        <v>0.20199999999999999</v>
      </c>
      <c r="O35" s="126">
        <f>'III. Database'!Z35</f>
        <v>0</v>
      </c>
      <c r="P35" s="126">
        <f>'III. Database'!AA35</f>
        <v>0.39700000000000002</v>
      </c>
    </row>
    <row r="36" spans="1:17" ht="47.25" customHeight="1" x14ac:dyDescent="0.25">
      <c r="B36" s="115">
        <f>'III. Database'!B36</f>
        <v>0</v>
      </c>
      <c r="C36" s="124" t="str">
        <f>'III. Database'!C36</f>
        <v>Bajželj, Bojana, et al. "Importance of food-demand management for climate mitigation." Nature Climate Change (2014): 924-929.</v>
      </c>
      <c r="D36" s="124" t="str">
        <f>'III. Database'!D36</f>
        <v>http://www.nature.com/nclimate/journal/v4/n10/full/nclimate2353.html</v>
      </c>
      <c r="E36" s="124" t="str">
        <f>'III. Database'!F36</f>
        <v>Reference_1</v>
      </c>
      <c r="F36" s="124" t="str">
        <f>'III. Database'!G36</f>
        <v>"Scenario CT1 (BAU): Current yield rates "</v>
      </c>
      <c r="G36" s="1">
        <f>'III. Database'!K36</f>
        <v>0</v>
      </c>
      <c r="H36" s="125" t="str">
        <f>'III. Database'!L36</f>
        <v>GtCO2e</v>
      </c>
      <c r="I36" s="126">
        <f>'III. Database'!N36</f>
        <v>1.5439803329663917</v>
      </c>
      <c r="J36" s="126">
        <f>'III. Database'!O36</f>
        <v>1.5439803329663917</v>
      </c>
      <c r="K36" s="126">
        <f>'III. Database'!R36</f>
        <v>1.5439803329663917</v>
      </c>
      <c r="L36" s="126">
        <f>'III. Database'!S36</f>
        <v>1.5439803329663917</v>
      </c>
      <c r="M36" s="126" t="str">
        <f>'III. Database'!V36</f>
        <v/>
      </c>
      <c r="N36" s="126" t="str">
        <f>'III. Database'!W36</f>
        <v/>
      </c>
      <c r="O36" s="126" t="str">
        <f>'III. Database'!Z36</f>
        <v/>
      </c>
      <c r="P36" s="126" t="str">
        <f>'III. Database'!AA36</f>
        <v/>
      </c>
    </row>
    <row r="37" spans="1:17" ht="47.25" customHeight="1" x14ac:dyDescent="0.25">
      <c r="A37" s="127"/>
      <c r="B37" s="115">
        <f>'III. Database'!B37</f>
        <v>0</v>
      </c>
      <c r="C37" s="124">
        <f>'III. Database'!C37</f>
        <v>0</v>
      </c>
      <c r="D37" s="124">
        <f>'III. Database'!D37</f>
        <v>0</v>
      </c>
      <c r="E37" s="124" t="str">
        <f>'III. Database'!F37</f>
        <v>Abatement_1</v>
      </c>
      <c r="F37" s="124" t="str">
        <f>'III. Database'!G37</f>
        <v>"Scenario YG3: Closure of yield gap; With 50% food waste reduction; With Healthy Diets"</v>
      </c>
      <c r="G37" s="1" t="str">
        <f>'III. Database'!K37</f>
        <v>Single Scenario</v>
      </c>
      <c r="H37" s="125" t="str">
        <f>'III. Database'!L37</f>
        <v>GtCO2e</v>
      </c>
      <c r="I37" s="126">
        <f>'III. Database'!N37</f>
        <v>0.53240701136772128</v>
      </c>
      <c r="J37" s="126">
        <f>'III. Database'!O37</f>
        <v>0.53240701136772128</v>
      </c>
      <c r="K37" s="126">
        <f>'III. Database'!R37</f>
        <v>0.53240701136772128</v>
      </c>
      <c r="L37" s="126">
        <f>'III. Database'!S37</f>
        <v>0.53240701136772128</v>
      </c>
      <c r="M37" s="126">
        <f>'III. Database'!V37</f>
        <v>1.0115733215986704</v>
      </c>
      <c r="N37" s="126">
        <f>'III. Database'!W37</f>
        <v>1.0115733215986704</v>
      </c>
      <c r="O37" s="126">
        <f>'III. Database'!Z37</f>
        <v>1.0115733215986704</v>
      </c>
      <c r="P37" s="126">
        <f>'III. Database'!AA37</f>
        <v>1.0115733215986704</v>
      </c>
    </row>
    <row r="38" spans="1:17" ht="47.25" x14ac:dyDescent="0.25">
      <c r="B38" s="115" t="str">
        <f>'III. Database'!B38</f>
        <v>Indonesia</v>
      </c>
      <c r="C38" s="124" t="str">
        <f>'III. Database'!C38</f>
        <v>Dewan Nasional Perubahan Iklim. "Indonsia's Greenhouse Gas Abatement Cost Curve." 2010.</v>
      </c>
      <c r="D38" s="124" t="str">
        <f>'III. Database'!D38</f>
        <v>http://www.mmechanisms.org/document/country/IDN/Indonesia_ghg_cost_curve_english.pdf</v>
      </c>
      <c r="E38" s="124" t="str">
        <f>'III. Database'!F38</f>
        <v>Reference_1</v>
      </c>
      <c r="F38" s="124" t="str">
        <f>'III. Database'!G38</f>
        <v>"Business as Usual: Forestry"</v>
      </c>
      <c r="G38" s="1">
        <f>'III. Database'!K38</f>
        <v>0</v>
      </c>
      <c r="H38" s="125" t="str">
        <f>'III. Database'!L38</f>
        <v>MtCO2e</v>
      </c>
      <c r="I38" s="126">
        <f>'III. Database'!N38</f>
        <v>1084</v>
      </c>
      <c r="J38" s="126">
        <f>'III. Database'!O38</f>
        <v>1084</v>
      </c>
      <c r="K38" s="126">
        <f>'III. Database'!R38</f>
        <v>1.0840000000000001</v>
      </c>
      <c r="L38" s="126">
        <f>'III. Database'!S38</f>
        <v>1.0840000000000001</v>
      </c>
      <c r="M38" s="126" t="str">
        <f>'III. Database'!V38</f>
        <v/>
      </c>
      <c r="N38" s="126" t="str">
        <f>'III. Database'!W38</f>
        <v/>
      </c>
      <c r="O38" s="126" t="str">
        <f>'III. Database'!Z38</f>
        <v/>
      </c>
      <c r="P38" s="126" t="str">
        <f>'III. Database'!AA38</f>
        <v/>
      </c>
    </row>
    <row r="39" spans="1:17" ht="47.25" customHeight="1" x14ac:dyDescent="0.25">
      <c r="B39" s="115">
        <f>'III. Database'!B39</f>
        <v>0</v>
      </c>
      <c r="C39" s="124">
        <f>'III. Database'!C39</f>
        <v>0</v>
      </c>
      <c r="D39" s="124">
        <f>'III. Database'!D39</f>
        <v>0</v>
      </c>
      <c r="E39" s="124" t="str">
        <f>'III. Database'!F39</f>
        <v>Abatement_1</v>
      </c>
      <c r="F39" s="124" t="str">
        <f>'III. Database'!G39</f>
        <v>"Abatement Scenario: all 9 levers"</v>
      </c>
      <c r="G39" s="1">
        <f>'III. Database'!K39</f>
        <v>0</v>
      </c>
      <c r="H39" s="125" t="str">
        <f>'III. Database'!L39</f>
        <v>MtCO2e</v>
      </c>
      <c r="I39" s="126">
        <f>'III. Database'!N39</f>
        <v>1084</v>
      </c>
      <c r="J39" s="126">
        <f>'III. Database'!O39</f>
        <v>-120</v>
      </c>
      <c r="K39" s="126">
        <f>'III. Database'!R39</f>
        <v>1.0840000000000001</v>
      </c>
      <c r="L39" s="126">
        <f>'III. Database'!S39</f>
        <v>-0.12</v>
      </c>
      <c r="M39" s="126">
        <f>'III. Database'!V39</f>
        <v>0</v>
      </c>
      <c r="N39" s="126">
        <f>'III. Database'!W39</f>
        <v>1.2040000000000002</v>
      </c>
      <c r="O39" s="126" t="str">
        <f>'III. Database'!Z39</f>
        <v/>
      </c>
      <c r="P39" s="126" t="str">
        <f>'III. Database'!AA39</f>
        <v/>
      </c>
    </row>
    <row r="40" spans="1:17" x14ac:dyDescent="0.25">
      <c r="B40" s="115">
        <f>'III. Database'!B40</f>
        <v>0</v>
      </c>
      <c r="C40" s="124">
        <f>'III. Database'!C40</f>
        <v>0</v>
      </c>
      <c r="D40" s="124">
        <f>'III. Database'!D40</f>
        <v>0</v>
      </c>
      <c r="E40" s="124" t="str">
        <f>'III. Database'!F40</f>
        <v>Reference_2</v>
      </c>
      <c r="F40" s="124" t="str">
        <f>'III. Database'!G40</f>
        <v>"Business as Usual: Agriculture"</v>
      </c>
      <c r="G40" s="1">
        <f>'III. Database'!K40</f>
        <v>0</v>
      </c>
      <c r="H40" s="125" t="str">
        <f>'III. Database'!L40</f>
        <v>MtCO2e</v>
      </c>
      <c r="I40" s="126">
        <f>'III. Database'!N40</f>
        <v>151</v>
      </c>
      <c r="J40" s="126">
        <f>'III. Database'!O40</f>
        <v>164</v>
      </c>
      <c r="K40" s="126">
        <f>'III. Database'!R40</f>
        <v>0.151</v>
      </c>
      <c r="L40" s="126">
        <f>'III. Database'!S40</f>
        <v>0.16400000000000001</v>
      </c>
      <c r="M40" s="126" t="str">
        <f>'III. Database'!V40</f>
        <v/>
      </c>
      <c r="N40" s="126" t="str">
        <f>'III. Database'!W40</f>
        <v/>
      </c>
      <c r="O40" s="126" t="str">
        <f>'III. Database'!Z40</f>
        <v/>
      </c>
      <c r="P40" s="126" t="str">
        <f>'III. Database'!AA40</f>
        <v/>
      </c>
    </row>
    <row r="41" spans="1:17" ht="47.25" customHeight="1" x14ac:dyDescent="0.25">
      <c r="B41" s="115">
        <f>'III. Database'!B41</f>
        <v>0</v>
      </c>
      <c r="C41" s="124">
        <f>'III. Database'!C41</f>
        <v>0</v>
      </c>
      <c r="D41" s="124">
        <f>'III. Database'!D41</f>
        <v>0</v>
      </c>
      <c r="E41" s="124" t="str">
        <f>'III. Database'!F41</f>
        <v>Abatement_2</v>
      </c>
      <c r="F41" s="124" t="str">
        <f>'III. Database'!G41</f>
        <v>"Abatement Scenario: Agriculture"</v>
      </c>
      <c r="G41" s="1" t="str">
        <f>'III. Database'!K41</f>
        <v>Added_2</v>
      </c>
      <c r="H41" s="125" t="str">
        <f>'III. Database'!L41</f>
        <v>MtCO2e</v>
      </c>
      <c r="I41" s="126">
        <f>'III. Database'!N41</f>
        <v>151</v>
      </c>
      <c r="J41" s="126">
        <f>'III. Database'!O41</f>
        <v>59</v>
      </c>
      <c r="K41" s="126">
        <f>'III. Database'!R41</f>
        <v>0.151</v>
      </c>
      <c r="L41" s="126">
        <f>'III. Database'!S41</f>
        <v>5.9000000000000004E-2</v>
      </c>
      <c r="M41" s="126">
        <f>'III. Database'!V41</f>
        <v>0</v>
      </c>
      <c r="N41" s="126">
        <f>'III. Database'!W41</f>
        <v>0.10500000000000001</v>
      </c>
      <c r="O41" s="126">
        <f>'III. Database'!Z41</f>
        <v>0</v>
      </c>
      <c r="P41" s="126">
        <f>'III. Database'!AA41</f>
        <v>1.3090000000000002</v>
      </c>
    </row>
    <row r="42" spans="1:17" ht="47.25" customHeight="1" x14ac:dyDescent="0.25">
      <c r="B42" s="115">
        <f>'III. Database'!B42</f>
        <v>0</v>
      </c>
      <c r="C42" s="124" t="str">
        <f>'III. Database'!C42</f>
        <v>National Council on Climate Change. "National Economic, Environment and Development Study (NEEDS) for Climate Change: Indonesia Country Study." 2009.</v>
      </c>
      <c r="D42" s="124" t="str">
        <f>'III. Database'!D42</f>
        <v>http://unfccc.int/files/adaptation/application/pdf/indonesianeeds.pdf</v>
      </c>
      <c r="E42" s="124" t="str">
        <f>'III. Database'!F42</f>
        <v>Reference_1</v>
      </c>
      <c r="F42" s="124" t="str">
        <f>'III. Database'!G42</f>
        <v>"Forestry"</v>
      </c>
      <c r="G42" s="1">
        <f>'III. Database'!K42</f>
        <v>0</v>
      </c>
      <c r="H42" s="125" t="str">
        <f>'III. Database'!L42</f>
        <v>MtCO2</v>
      </c>
      <c r="I42" s="126">
        <f>'III. Database'!N42</f>
        <v>852</v>
      </c>
      <c r="J42" s="126">
        <f>'III. Database'!O42</f>
        <v>852</v>
      </c>
      <c r="K42" s="126">
        <f>'III. Database'!R42</f>
        <v>0.85199999999999998</v>
      </c>
      <c r="L42" s="126">
        <f>'III. Database'!S42</f>
        <v>0.85199999999999998</v>
      </c>
      <c r="M42" s="126" t="str">
        <f>'III. Database'!V42</f>
        <v/>
      </c>
      <c r="N42" s="126" t="str">
        <f>'III. Database'!W42</f>
        <v/>
      </c>
      <c r="O42" s="126" t="str">
        <f>'III. Database'!Z42</f>
        <v/>
      </c>
      <c r="P42" s="126" t="str">
        <f>'III. Database'!AA42</f>
        <v/>
      </c>
    </row>
    <row r="43" spans="1:17" ht="47.25" customHeight="1" x14ac:dyDescent="0.25">
      <c r="B43" s="115">
        <f>'III. Database'!B43</f>
        <v>0</v>
      </c>
      <c r="C43" s="124">
        <f>'III. Database'!C43</f>
        <v>0</v>
      </c>
      <c r="D43" s="124">
        <f>'III. Database'!D43</f>
        <v>0</v>
      </c>
      <c r="E43" s="124" t="str">
        <f>'III. Database'!F43</f>
        <v>Abatement_1</v>
      </c>
      <c r="F43" s="124" t="str">
        <f>'III. Database'!G43</f>
        <v>Forest: Scenario 1 for 2020 (Emissions Reduction by 26%)</v>
      </c>
      <c r="G43" s="1">
        <f>'III. Database'!K43</f>
        <v>0</v>
      </c>
      <c r="H43" s="125" t="str">
        <f>'III. Database'!L43</f>
        <v>MtCO2</v>
      </c>
      <c r="I43" s="126">
        <f>'III. Database'!N43</f>
        <v>98</v>
      </c>
      <c r="J43" s="126" t="str">
        <f>'III. Database'!O43</f>
        <v>N/A</v>
      </c>
      <c r="K43" s="126">
        <f>'III. Database'!R43</f>
        <v>9.8000000000000004E-2</v>
      </c>
      <c r="L43" s="126">
        <f>'III. Database'!S43</f>
        <v>0</v>
      </c>
      <c r="M43" s="126">
        <f>'III. Database'!V43</f>
        <v>0.754</v>
      </c>
      <c r="N43" s="126">
        <f>'III. Database'!W43</f>
        <v>0.85199999999999998</v>
      </c>
      <c r="O43" s="126" t="str">
        <f>'III. Database'!Z43</f>
        <v/>
      </c>
      <c r="P43" s="126" t="str">
        <f>'III. Database'!AA43</f>
        <v/>
      </c>
    </row>
    <row r="44" spans="1:17" x14ac:dyDescent="0.25">
      <c r="B44" s="115">
        <f>'III. Database'!B44</f>
        <v>0</v>
      </c>
      <c r="C44" s="124">
        <f>'III. Database'!C44</f>
        <v>0</v>
      </c>
      <c r="D44" s="124">
        <f>'III. Database'!D44</f>
        <v>0</v>
      </c>
      <c r="E44" s="124" t="str">
        <f>'III. Database'!F44</f>
        <v>Abatement_1.1</v>
      </c>
      <c r="F44" s="124" t="str">
        <f>'III. Database'!G44</f>
        <v>Forest: Scenario 1 for 2020 (Emissions Reduction by 41%)</v>
      </c>
      <c r="G44" s="1">
        <f>'III. Database'!K44</f>
        <v>0</v>
      </c>
      <c r="H44" s="125" t="str">
        <f>'III. Database'!L44</f>
        <v>MtCO2</v>
      </c>
      <c r="I44" s="126">
        <f>'III. Database'!N44</f>
        <v>-212</v>
      </c>
      <c r="J44" s="126" t="str">
        <f>'III. Database'!O44</f>
        <v>N/A</v>
      </c>
      <c r="K44" s="126">
        <f>'III. Database'!R44</f>
        <v>-0.21199999999999999</v>
      </c>
      <c r="L44" s="126">
        <f>'III. Database'!S44</f>
        <v>0</v>
      </c>
      <c r="M44" s="126">
        <f>'III. Database'!V44</f>
        <v>1.0640000000000001</v>
      </c>
      <c r="N44" s="126">
        <f>'III. Database'!W44</f>
        <v>0.85199999999999998</v>
      </c>
      <c r="O44" s="126" t="str">
        <f>'III. Database'!Z44</f>
        <v/>
      </c>
      <c r="P44" s="126" t="str">
        <f>'III. Database'!AA44</f>
        <v/>
      </c>
    </row>
    <row r="45" spans="1:17" ht="47.25" customHeight="1" x14ac:dyDescent="0.25">
      <c r="A45" s="128"/>
      <c r="B45" s="115">
        <f>'III. Database'!B45</f>
        <v>0</v>
      </c>
      <c r="C45" s="124">
        <f>'III. Database'!C45</f>
        <v>0</v>
      </c>
      <c r="D45" s="124">
        <f>'III. Database'!D45</f>
        <v>0</v>
      </c>
      <c r="E45" s="124" t="str">
        <f>'III. Database'!F45</f>
        <v>Abatement_1.11</v>
      </c>
      <c r="F45" s="124" t="str">
        <f>'III. Database'!G45</f>
        <v>Abatement scenario 2030</v>
      </c>
      <c r="G45" s="1">
        <f>'III. Database'!K45</f>
        <v>0</v>
      </c>
      <c r="H45" s="125" t="str">
        <f>'III. Database'!L45</f>
        <v>MtCO2</v>
      </c>
      <c r="I45" s="126" t="str">
        <f>'III. Database'!N45</f>
        <v>N/A</v>
      </c>
      <c r="J45" s="126">
        <f>'III. Database'!O45</f>
        <v>-248</v>
      </c>
      <c r="K45" s="126">
        <f>'III. Database'!R45</f>
        <v>0</v>
      </c>
      <c r="L45" s="126">
        <f>'III. Database'!S45</f>
        <v>-0.248</v>
      </c>
      <c r="M45" s="126" t="str">
        <f>'III. Database'!V45</f>
        <v/>
      </c>
      <c r="N45" s="126" t="str">
        <f>'III. Database'!W45</f>
        <v/>
      </c>
      <c r="O45" s="126" t="str">
        <f>'III. Database'!Z45</f>
        <v/>
      </c>
      <c r="P45" s="126" t="str">
        <f>'III. Database'!AA45</f>
        <v/>
      </c>
      <c r="Q45" s="129"/>
    </row>
    <row r="46" spans="1:17" ht="47.25" customHeight="1" x14ac:dyDescent="0.25">
      <c r="B46" s="115">
        <f>'III. Database'!B46</f>
        <v>0</v>
      </c>
      <c r="C46" s="124">
        <f>'III. Database'!C46</f>
        <v>0</v>
      </c>
      <c r="D46" s="124">
        <f>'III. Database'!D46</f>
        <v>0</v>
      </c>
      <c r="E46" s="124" t="str">
        <f>'III. Database'!F46</f>
        <v>Reference_2</v>
      </c>
      <c r="F46" s="124" t="str">
        <f>'III. Database'!G46</f>
        <v>"Peat"</v>
      </c>
      <c r="G46" s="1">
        <f>'III. Database'!K46</f>
        <v>0</v>
      </c>
      <c r="H46" s="125" t="str">
        <f>'III. Database'!L46</f>
        <v>MtCO2</v>
      </c>
      <c r="I46" s="126">
        <f>'III. Database'!N46</f>
        <v>1160</v>
      </c>
      <c r="J46" s="126">
        <f>'III. Database'!O46</f>
        <v>1230</v>
      </c>
      <c r="K46" s="126">
        <f>'III. Database'!R46</f>
        <v>1.1599999999999999</v>
      </c>
      <c r="L46" s="126">
        <f>'III. Database'!S46</f>
        <v>1.23</v>
      </c>
      <c r="M46" s="126" t="str">
        <f>'III. Database'!V46</f>
        <v/>
      </c>
      <c r="N46" s="126" t="str">
        <f>'III. Database'!W46</f>
        <v/>
      </c>
      <c r="O46" s="126" t="str">
        <f>'III. Database'!Z46</f>
        <v/>
      </c>
      <c r="P46" s="126" t="str">
        <f>'III. Database'!AA46</f>
        <v/>
      </c>
    </row>
    <row r="47" spans="1:17" ht="47.25" customHeight="1" x14ac:dyDescent="0.25">
      <c r="B47" s="115">
        <f>'III. Database'!B47</f>
        <v>0</v>
      </c>
      <c r="C47" s="124">
        <f>'III. Database'!C47</f>
        <v>0</v>
      </c>
      <c r="D47" s="124">
        <f>'III. Database'!D47</f>
        <v>0</v>
      </c>
      <c r="E47" s="124" t="str">
        <f>'III. Database'!F47</f>
        <v>Abatement_2</v>
      </c>
      <c r="F47" s="124" t="str">
        <f>'III. Database'!G47</f>
        <v>Peat: Scenario 1 for 2020 (Emissions Reduction by 26%)</v>
      </c>
      <c r="G47" s="1">
        <f>'III. Database'!K47</f>
        <v>0</v>
      </c>
      <c r="H47" s="125" t="str">
        <f>'III. Database'!L47</f>
        <v>MtCO2</v>
      </c>
      <c r="I47" s="126">
        <f>'III. Database'!N47</f>
        <v>810</v>
      </c>
      <c r="J47" s="126" t="str">
        <f>'III. Database'!O47</f>
        <v>N/A</v>
      </c>
      <c r="K47" s="126">
        <f>'III. Database'!R47</f>
        <v>0.81</v>
      </c>
      <c r="L47" s="126">
        <f>'III. Database'!S47</f>
        <v>0</v>
      </c>
      <c r="M47" s="126">
        <f>'III. Database'!V47</f>
        <v>0.34999999999999987</v>
      </c>
      <c r="N47" s="126">
        <f>'III. Database'!W47</f>
        <v>1.23</v>
      </c>
      <c r="O47" s="126" t="str">
        <f>'III. Database'!Z47</f>
        <v/>
      </c>
      <c r="P47" s="126" t="str">
        <f>'III. Database'!AA47</f>
        <v/>
      </c>
    </row>
    <row r="48" spans="1:17" ht="47.25" customHeight="1" x14ac:dyDescent="0.25">
      <c r="B48" s="115">
        <f>'III. Database'!B48</f>
        <v>0</v>
      </c>
      <c r="C48" s="124">
        <f>'III. Database'!C48</f>
        <v>0</v>
      </c>
      <c r="D48" s="124">
        <f>'III. Database'!D48</f>
        <v>0</v>
      </c>
      <c r="E48" s="124" t="str">
        <f>'III. Database'!F48</f>
        <v>Abatement_2.1</v>
      </c>
      <c r="F48" s="124" t="str">
        <f>'III. Database'!G48</f>
        <v>Peat: Scenario 1 for 2020 (Emissions Reduction by 41%)</v>
      </c>
      <c r="G48" s="1">
        <f>'III. Database'!K48</f>
        <v>0</v>
      </c>
      <c r="H48" s="125" t="str">
        <f>'III. Database'!L48</f>
        <v>MtCO2</v>
      </c>
      <c r="I48" s="126">
        <f>'III. Database'!N48</f>
        <v>753</v>
      </c>
      <c r="J48" s="126" t="str">
        <f>'III. Database'!O48</f>
        <v>N/A</v>
      </c>
      <c r="K48" s="126">
        <f>'III. Database'!R48</f>
        <v>0.753</v>
      </c>
      <c r="L48" s="126">
        <f>'III. Database'!S48</f>
        <v>0</v>
      </c>
      <c r="M48" s="126">
        <f>'III. Database'!V48</f>
        <v>0.40699999999999992</v>
      </c>
      <c r="N48" s="126">
        <f>'III. Database'!W48</f>
        <v>1.23</v>
      </c>
      <c r="O48" s="126" t="str">
        <f>'III. Database'!Z48</f>
        <v/>
      </c>
      <c r="P48" s="126" t="str">
        <f>'III. Database'!AA48</f>
        <v/>
      </c>
    </row>
    <row r="49" spans="1:28" ht="47.25" customHeight="1" x14ac:dyDescent="0.25">
      <c r="B49" s="115">
        <f>'III. Database'!B49</f>
        <v>0</v>
      </c>
      <c r="C49" s="124">
        <f>'III. Database'!C49</f>
        <v>0</v>
      </c>
      <c r="D49" s="124">
        <f>'III. Database'!D49</f>
        <v>0</v>
      </c>
      <c r="E49" s="124" t="str">
        <f>'III. Database'!F49</f>
        <v>Abatement_2.11</v>
      </c>
      <c r="F49" s="124" t="str">
        <f>'III. Database'!G49</f>
        <v>Abatement scenario 2030</v>
      </c>
      <c r="G49" s="1">
        <f>'III. Database'!K49</f>
        <v>0</v>
      </c>
      <c r="H49" s="125" t="str">
        <f>'III. Database'!L49</f>
        <v>MtCO2</v>
      </c>
      <c r="I49" s="126" t="str">
        <f>'III. Database'!N49</f>
        <v>N/A</v>
      </c>
      <c r="J49" s="126">
        <f>'III. Database'!O49</f>
        <v>530</v>
      </c>
      <c r="K49" s="126">
        <f>'III. Database'!R49</f>
        <v>0</v>
      </c>
      <c r="L49" s="126">
        <f>'III. Database'!S49</f>
        <v>0.53</v>
      </c>
      <c r="M49" s="126">
        <f>'III. Database'!V49</f>
        <v>1.1599999999999999</v>
      </c>
      <c r="N49" s="126">
        <f>'III. Database'!W49</f>
        <v>0.7</v>
      </c>
      <c r="O49" s="126" t="str">
        <f>'III. Database'!Z49</f>
        <v/>
      </c>
      <c r="P49" s="126" t="str">
        <f>'III. Database'!AA49</f>
        <v/>
      </c>
    </row>
    <row r="50" spans="1:28" ht="155.25" customHeight="1" x14ac:dyDescent="0.25">
      <c r="B50" s="115">
        <f>'III. Database'!B50</f>
        <v>0</v>
      </c>
      <c r="C50" s="124">
        <f>'III. Database'!C50</f>
        <v>0</v>
      </c>
      <c r="D50" s="124">
        <f>'III. Database'!D50</f>
        <v>0</v>
      </c>
      <c r="E50" s="124" t="str">
        <f>'III. Database'!F50</f>
        <v>Reference_3</v>
      </c>
      <c r="F50" s="124" t="str">
        <f>'III. Database'!G50</f>
        <v>"Agriculture"</v>
      </c>
      <c r="G50" s="1">
        <f>'III. Database'!K50</f>
        <v>0</v>
      </c>
      <c r="H50" s="125" t="str">
        <f>'III. Database'!L50</f>
        <v>MtCO2</v>
      </c>
      <c r="I50" s="126">
        <f>'III. Database'!N50</f>
        <v>150</v>
      </c>
      <c r="J50" s="126">
        <f>'III. Database'!O50</f>
        <v>164</v>
      </c>
      <c r="K50" s="126">
        <f>'III. Database'!R50</f>
        <v>0.15</v>
      </c>
      <c r="L50" s="126">
        <f>'III. Database'!S50</f>
        <v>0.16400000000000001</v>
      </c>
      <c r="M50" s="126" t="str">
        <f>'III. Database'!V50</f>
        <v/>
      </c>
      <c r="N50" s="126" t="str">
        <f>'III. Database'!W50</f>
        <v/>
      </c>
      <c r="O50" s="126" t="str">
        <f>'III. Database'!Z50</f>
        <v/>
      </c>
      <c r="P50" s="126" t="str">
        <f>'III. Database'!AA50</f>
        <v/>
      </c>
    </row>
    <row r="51" spans="1:28" ht="47.25" customHeight="1" x14ac:dyDescent="0.25">
      <c r="B51" s="115">
        <f>'III. Database'!B51</f>
        <v>0</v>
      </c>
      <c r="C51" s="124">
        <f>'III. Database'!C51</f>
        <v>0</v>
      </c>
      <c r="D51" s="124">
        <f>'III. Database'!D51</f>
        <v>0</v>
      </c>
      <c r="E51" s="124" t="str">
        <f>'III. Database'!F51</f>
        <v>Abatement_3</v>
      </c>
      <c r="F51" s="124" t="str">
        <f>'III. Database'!G51</f>
        <v>Agriculture: Scenario 1 for 2020 (Emissions Reduction by 26%)</v>
      </c>
      <c r="G51" s="1">
        <f>'III. Database'!K51</f>
        <v>0</v>
      </c>
      <c r="H51" s="125" t="str">
        <f>'III. Database'!L51</f>
        <v>MtCO2</v>
      </c>
      <c r="I51" s="126">
        <f>'III. Database'!N51</f>
        <v>59</v>
      </c>
      <c r="J51" s="126" t="str">
        <f>'III. Database'!O51</f>
        <v>N/A</v>
      </c>
      <c r="K51" s="126">
        <f>'III. Database'!R51</f>
        <v>5.9000000000000004E-2</v>
      </c>
      <c r="L51" s="126">
        <f>'III. Database'!S51</f>
        <v>0</v>
      </c>
      <c r="M51" s="126">
        <f>'III. Database'!V51</f>
        <v>9.0999999999999998E-2</v>
      </c>
      <c r="N51" s="126">
        <f>'III. Database'!W51</f>
        <v>0.16400000000000001</v>
      </c>
      <c r="O51" s="126" t="str">
        <f>'III. Database'!Z51</f>
        <v/>
      </c>
      <c r="P51" s="126" t="str">
        <f>'III. Database'!AA51</f>
        <v/>
      </c>
    </row>
    <row r="52" spans="1:28" ht="41.25" customHeight="1" x14ac:dyDescent="0.25">
      <c r="A52" s="128"/>
      <c r="B52" s="115">
        <f>'III. Database'!B52</f>
        <v>0</v>
      </c>
      <c r="C52" s="124">
        <f>'III. Database'!C52</f>
        <v>0</v>
      </c>
      <c r="D52" s="124">
        <f>'III. Database'!D52</f>
        <v>0</v>
      </c>
      <c r="E52" s="124" t="str">
        <f>'III. Database'!F52</f>
        <v>Abatement_3.1</v>
      </c>
      <c r="F52" s="124" t="str">
        <f>'III. Database'!G52</f>
        <v>Agriculture: Scenario 1 for 2020 (Emissions Reduction by 41%)</v>
      </c>
      <c r="G52" s="1">
        <f>'III. Database'!K52</f>
        <v>0</v>
      </c>
      <c r="H52" s="125" t="str">
        <f>'III. Database'!L52</f>
        <v>MtCO2</v>
      </c>
      <c r="I52" s="126">
        <f>'III. Database'!N52</f>
        <v>49</v>
      </c>
      <c r="J52" s="126" t="str">
        <f>'III. Database'!O52</f>
        <v>N/A</v>
      </c>
      <c r="K52" s="126">
        <f>'III. Database'!R52</f>
        <v>4.9000000000000002E-2</v>
      </c>
      <c r="L52" s="126">
        <f>'III. Database'!S52</f>
        <v>0</v>
      </c>
      <c r="M52" s="126">
        <f>'III. Database'!V52</f>
        <v>0.10099999999999999</v>
      </c>
      <c r="N52" s="126">
        <f>'III. Database'!W52</f>
        <v>0.16400000000000001</v>
      </c>
      <c r="O52" s="126" t="str">
        <f>'III. Database'!Z52</f>
        <v/>
      </c>
      <c r="P52" s="126" t="str">
        <f>'III. Database'!AA52</f>
        <v/>
      </c>
      <c r="Q52" s="129"/>
    </row>
    <row r="53" spans="1:28" s="9" customFormat="1" ht="87.75" customHeight="1" x14ac:dyDescent="0.25">
      <c r="A53" s="130"/>
      <c r="B53" s="115">
        <f>'III. Database'!B53</f>
        <v>0</v>
      </c>
      <c r="C53" s="124">
        <f>'III. Database'!C53</f>
        <v>0</v>
      </c>
      <c r="D53" s="124">
        <f>'III. Database'!D53</f>
        <v>0</v>
      </c>
      <c r="E53" s="124" t="str">
        <f>'III. Database'!F53</f>
        <v>Abatement_3.11</v>
      </c>
      <c r="F53" s="124" t="str">
        <f>'III. Database'!G53</f>
        <v>Abatement scenario 2030</v>
      </c>
      <c r="G53" s="1" t="str">
        <f>'III. Database'!K53</f>
        <v>Indo_UNFCCC_Exception</v>
      </c>
      <c r="H53" s="125" t="str">
        <f>'III. Database'!L53</f>
        <v>MtCO2</v>
      </c>
      <c r="I53" s="126" t="str">
        <f>'III. Database'!N53</f>
        <v>N/A</v>
      </c>
      <c r="J53" s="126">
        <f>'III. Database'!O53</f>
        <v>59</v>
      </c>
      <c r="K53" s="126">
        <f>'III. Database'!R53</f>
        <v>0</v>
      </c>
      <c r="L53" s="126">
        <f>'III. Database'!S53</f>
        <v>5.9000000000000004E-2</v>
      </c>
      <c r="M53" s="126">
        <f>'III. Database'!V53</f>
        <v>0.15</v>
      </c>
      <c r="N53" s="126">
        <f>'III. Database'!W53</f>
        <v>0.10500000000000001</v>
      </c>
      <c r="O53" s="126">
        <f>'III. Database'!Z53</f>
        <v>2.7670000000000003</v>
      </c>
      <c r="P53" s="126">
        <f>'III. Database'!AA53</f>
        <v>0.80499999999999994</v>
      </c>
      <c r="AB53" s="18"/>
    </row>
    <row r="54" spans="1:28" s="9" customFormat="1" ht="47.25" customHeight="1" x14ac:dyDescent="0.25">
      <c r="A54" s="130"/>
      <c r="B54" s="115">
        <f>'III. Database'!B54</f>
        <v>0</v>
      </c>
      <c r="C54" s="124" t="str">
        <f>'III. Database'!C54</f>
        <v>Bajželj, Bojana, et al. "Importance of food-demand management for climate mitigation." Nature Climate Change (2014): 924-929.</v>
      </c>
      <c r="D54" s="124" t="str">
        <f>'III. Database'!D54</f>
        <v>http://www.nature.com/nclimate/journal/v4/n10/full/nclimate2353.html</v>
      </c>
      <c r="E54" s="124" t="str">
        <f>'III. Database'!F54</f>
        <v>Reference_1</v>
      </c>
      <c r="F54" s="124" t="str">
        <f>'III. Database'!G54</f>
        <v>"Scenario CT1 (BAU): Current yield rates "</v>
      </c>
      <c r="G54" s="1">
        <f>'III. Database'!K54</f>
        <v>0</v>
      </c>
      <c r="H54" s="125" t="str">
        <f>'III. Database'!L54</f>
        <v>GtCO2e</v>
      </c>
      <c r="I54" s="126">
        <f>'III. Database'!N54</f>
        <v>0.4798760044899088</v>
      </c>
      <c r="J54" s="126">
        <f>'III. Database'!O54</f>
        <v>0.4798760044899088</v>
      </c>
      <c r="K54" s="126">
        <f>'III. Database'!R54</f>
        <v>0.4798760044899088</v>
      </c>
      <c r="L54" s="126">
        <f>'III. Database'!S54</f>
        <v>0.4798760044899088</v>
      </c>
      <c r="M54" s="126" t="str">
        <f>'III. Database'!V54</f>
        <v/>
      </c>
      <c r="N54" s="126" t="str">
        <f>'III. Database'!W54</f>
        <v/>
      </c>
      <c r="O54" s="126" t="str">
        <f>'III. Database'!Z54</f>
        <v/>
      </c>
      <c r="P54" s="126" t="str">
        <f>'III. Database'!AA54</f>
        <v/>
      </c>
      <c r="AB54" s="18"/>
    </row>
    <row r="55" spans="1:28" ht="47.25" customHeight="1" x14ac:dyDescent="0.25">
      <c r="B55" s="115">
        <f>'III. Database'!B55</f>
        <v>0</v>
      </c>
      <c r="C55" s="124">
        <f>'III. Database'!C55</f>
        <v>0</v>
      </c>
      <c r="D55" s="124">
        <f>'III. Database'!D55</f>
        <v>0</v>
      </c>
      <c r="E55" s="124" t="str">
        <f>'III. Database'!F55</f>
        <v>Abatement_1</v>
      </c>
      <c r="F55" s="124" t="str">
        <f>'III. Database'!G55</f>
        <v>"Scenario YG3: Closure of yield gap; With 50% food waste reduction; With Healthy Diets"</v>
      </c>
      <c r="G55" s="1" t="str">
        <f>'III. Database'!K55</f>
        <v>Single Scenario</v>
      </c>
      <c r="H55" s="125" t="str">
        <f>'III. Database'!L55</f>
        <v>GtCO2e</v>
      </c>
      <c r="I55" s="126">
        <f>'III. Database'!N55</f>
        <v>-9.121610002700746E-2</v>
      </c>
      <c r="J55" s="126">
        <f>'III. Database'!O55</f>
        <v>-9.121610002700746E-2</v>
      </c>
      <c r="K55" s="126">
        <f>'III. Database'!R55</f>
        <v>-9.121610002700746E-2</v>
      </c>
      <c r="L55" s="126">
        <f>'III. Database'!S55</f>
        <v>-9.121610002700746E-2</v>
      </c>
      <c r="M55" s="126">
        <f>'III. Database'!V55</f>
        <v>0.57109210451691628</v>
      </c>
      <c r="N55" s="126">
        <f>'III. Database'!W55</f>
        <v>0.57109210451691628</v>
      </c>
      <c r="O55" s="126">
        <f>'III. Database'!Z55</f>
        <v>0.57109210451691628</v>
      </c>
      <c r="P55" s="126">
        <f>'III. Database'!AA55</f>
        <v>0.57109210451691628</v>
      </c>
    </row>
    <row r="56" spans="1:28" ht="47.25" x14ac:dyDescent="0.25">
      <c r="A56" s="128"/>
      <c r="B56" s="115" t="str">
        <f>'III. Database'!B56</f>
        <v>Mexico</v>
      </c>
      <c r="C56" s="124" t="str">
        <f>'III. Database'!C56</f>
        <v>JJohnson, Todd M., et al. Low Carbon Development for Mexico. Conference Edition. Washington, DC: The World Bank, 2009.</v>
      </c>
      <c r="D56" s="124" t="str">
        <f>'III. Database'!D56</f>
        <v>http://siteresources.worldbank.org/INTLAC/Resources/Medec_final_Oct15_2009_Eng.pdf</v>
      </c>
      <c r="E56" s="124" t="str">
        <f>'III. Database'!F56</f>
        <v>Reference_1</v>
      </c>
      <c r="F56" s="124" t="str">
        <f>'III. Database'!G56</f>
        <v>"Baseline"</v>
      </c>
      <c r="G56" s="1">
        <f>'III. Database'!K56</f>
        <v>0</v>
      </c>
      <c r="H56" s="125" t="str">
        <f>'III. Database'!L56</f>
        <v>MtCO2e</v>
      </c>
      <c r="I56" s="126">
        <f>'III. Database'!N56</f>
        <v>92.909090909090878</v>
      </c>
      <c r="J56" s="126">
        <f>'III. Database'!O56</f>
        <v>86.999999999999943</v>
      </c>
      <c r="K56" s="126">
        <f>'III. Database'!R56</f>
        <v>9.2909090909090886E-2</v>
      </c>
      <c r="L56" s="126">
        <f>'III. Database'!S56</f>
        <v>8.6999999999999938E-2</v>
      </c>
      <c r="M56" s="126" t="str">
        <f>'III. Database'!V56</f>
        <v/>
      </c>
      <c r="N56" s="126" t="str">
        <f>'III. Database'!W56</f>
        <v/>
      </c>
      <c r="O56" s="126" t="str">
        <f>'III. Database'!Z56</f>
        <v/>
      </c>
      <c r="P56" s="126" t="str">
        <f>'III. Database'!AA56</f>
        <v/>
      </c>
      <c r="Q56" s="129"/>
    </row>
    <row r="57" spans="1:28" ht="47.25" customHeight="1" x14ac:dyDescent="0.25">
      <c r="B57" s="115">
        <f>'III. Database'!B57</f>
        <v>0</v>
      </c>
      <c r="C57" s="124">
        <f>'III. Database'!C57</f>
        <v>0</v>
      </c>
      <c r="D57" s="124">
        <f>'III. Database'!D57</f>
        <v>0</v>
      </c>
      <c r="E57" s="124" t="str">
        <f>'III. Database'!F57</f>
        <v>Abatement_1</v>
      </c>
      <c r="F57" s="124" t="str">
        <f>'III. Database'!G57</f>
        <v>"MEDEC Low-Carbon Scenario: All ag/forestry measures"</v>
      </c>
      <c r="G57" s="1">
        <f>'III. Database'!K57</f>
        <v>0</v>
      </c>
      <c r="H57" s="125" t="str">
        <f>'III. Database'!L57</f>
        <v>MtCO2e</v>
      </c>
      <c r="I57" s="126">
        <f>'III. Database'!N57</f>
        <v>22.999999999999972</v>
      </c>
      <c r="J57" s="126">
        <f>'III. Database'!O57</f>
        <v>-75.000000000000057</v>
      </c>
      <c r="K57" s="126">
        <f>'III. Database'!R57</f>
        <v>2.2999999999999972E-2</v>
      </c>
      <c r="L57" s="126">
        <f>'III. Database'!S57</f>
        <v>-7.5000000000000053E-2</v>
      </c>
      <c r="M57" s="126">
        <f>'III. Database'!V57</f>
        <v>6.9909090909090921E-2</v>
      </c>
      <c r="N57" s="126">
        <f>'III. Database'!W57</f>
        <v>0.16199999999999998</v>
      </c>
      <c r="O57" s="126" t="str">
        <f>'III. Database'!Z57</f>
        <v/>
      </c>
      <c r="P57" s="126" t="str">
        <f>'III. Database'!AA57</f>
        <v/>
      </c>
    </row>
    <row r="58" spans="1:28" x14ac:dyDescent="0.25">
      <c r="B58" s="115">
        <f>'III. Database'!B58</f>
        <v>0</v>
      </c>
      <c r="C58" s="124">
        <f>'III. Database'!C58</f>
        <v>0</v>
      </c>
      <c r="D58" s="124">
        <f>'III. Database'!D58</f>
        <v>0</v>
      </c>
      <c r="E58" s="124" t="str">
        <f>'III. Database'!F58</f>
        <v>Abatement_1.1</v>
      </c>
      <c r="F58" s="124" t="str">
        <f>'III. Database'!G58</f>
        <v>"Six REDD interventions"</v>
      </c>
      <c r="G58" s="1" t="str">
        <f>'III. Database'!K58</f>
        <v>Overlap</v>
      </c>
      <c r="H58" s="125" t="str">
        <f>'III. Database'!L58</f>
        <v>MtCO2e</v>
      </c>
      <c r="I58" s="126">
        <f>'III. Database'!N58</f>
        <v>46.51363636363633</v>
      </c>
      <c r="J58" s="126">
        <f>'III. Database'!O58</f>
        <v>-12.300000000000068</v>
      </c>
      <c r="K58" s="126">
        <f>'III. Database'!R58</f>
        <v>4.6513636363636333E-2</v>
      </c>
      <c r="L58" s="126">
        <f>'III. Database'!S58</f>
        <v>-1.2300000000000068E-2</v>
      </c>
      <c r="M58" s="126">
        <f>'III. Database'!V58</f>
        <v>4.6395454545454552E-2</v>
      </c>
      <c r="N58" s="126">
        <f>'III. Database'!W58</f>
        <v>9.9299999999999999E-2</v>
      </c>
      <c r="O58" s="126">
        <f>'III. Database'!Z58</f>
        <v>6.9909090909090921E-2</v>
      </c>
      <c r="P58" s="126">
        <f>'III. Database'!AA58</f>
        <v>0.16199999999999998</v>
      </c>
    </row>
    <row r="59" spans="1:28" ht="47.25" customHeight="1" x14ac:dyDescent="0.25">
      <c r="B59" s="115">
        <f>'III. Database'!B59</f>
        <v>0</v>
      </c>
      <c r="C59" s="124" t="str">
        <f>'III. Database'!C59</f>
        <v>Masera, O.R. "Carbon Mitigation Scenarios for Mexican Forests: Methodological Considerations and Results." Intercencia 1995: 388-395.</v>
      </c>
      <c r="D59" s="124" t="str">
        <f>'III. Database'!D59</f>
        <v>http://www.interciencia.org/v20_06/art12/</v>
      </c>
      <c r="E59" s="124" t="str">
        <f>'III. Database'!F59</f>
        <v>Reference_1</v>
      </c>
      <c r="F59" s="124" t="str">
        <f>'III. Database'!G59</f>
        <v>"Macro-Economic Context: historic trends hold; Conservation: same effort as in base year; Afforestation: Same reforestation rates as in base year"</v>
      </c>
      <c r="G59" s="1">
        <f>'III. Database'!K59</f>
        <v>0</v>
      </c>
      <c r="H59" s="125" t="str">
        <f>'III. Database'!L59</f>
        <v>MTC</v>
      </c>
      <c r="I59" s="126">
        <f>'III. Database'!N59</f>
        <v>35.450000000000003</v>
      </c>
      <c r="J59" s="126">
        <f>'III. Database'!O59</f>
        <v>18.600000000000001</v>
      </c>
      <c r="K59" s="126">
        <f>'III. Database'!R59</f>
        <v>0.13010150000000001</v>
      </c>
      <c r="L59" s="126">
        <f>'III. Database'!S59</f>
        <v>6.8262000000000003E-2</v>
      </c>
      <c r="M59" s="126" t="str">
        <f>'III. Database'!V59</f>
        <v/>
      </c>
      <c r="N59" s="126" t="str">
        <f>'III. Database'!W59</f>
        <v/>
      </c>
      <c r="O59" s="126" t="str">
        <f>'III. Database'!Z59</f>
        <v/>
      </c>
      <c r="P59" s="126" t="str">
        <f>'III. Database'!AA59</f>
        <v/>
      </c>
    </row>
    <row r="60" spans="1:28" ht="47.25" customHeight="1" x14ac:dyDescent="0.25">
      <c r="B60" s="115">
        <f>'III. Database'!B60</f>
        <v>0</v>
      </c>
      <c r="C60" s="124">
        <f>'III. Database'!C60</f>
        <v>0</v>
      </c>
      <c r="D60" s="124">
        <f>'III. Database'!D60</f>
        <v>0</v>
      </c>
      <c r="E60" s="124" t="str">
        <f>'III. Database'!F60</f>
        <v>Abatement_1</v>
      </c>
      <c r="F60" s="124" t="str">
        <f>'III. Database'!G60</f>
        <v>"Policy Scenario: Macro-Economic Context: Economic growth improves after 2000; Conservation: Government plans for 2000/2010 are achieved; better preservation of NPA; up to 2 million improved cook stoves disseminated by 2030; timber demand covered with improved harvesting systems in native forests"
Afforestation: Government plans to 2000/2010 are achieved; Improved survival rates for restoration plantations; up to 100% of the demand for pulp &amp; paper comes from plantations; approx. 20% of reforested lands devoted to bioenergy in 2030; 20 kha/year of shade agroforestry systems established in 2030</v>
      </c>
      <c r="G60" s="1" t="str">
        <f>'III. Database'!K60</f>
        <v>Single Scenario</v>
      </c>
      <c r="H60" s="125" t="str">
        <f>'III. Database'!L60</f>
        <v>MTC</v>
      </c>
      <c r="I60" s="126">
        <f>'III. Database'!N60</f>
        <v>-66.5</v>
      </c>
      <c r="J60" s="126">
        <f>'III. Database'!O60</f>
        <v>-66.5</v>
      </c>
      <c r="K60" s="126">
        <f>'III. Database'!R60</f>
        <v>-0.24405500000000002</v>
      </c>
      <c r="L60" s="126">
        <f>'III. Database'!S60</f>
        <v>-0.24405500000000002</v>
      </c>
      <c r="M60" s="126">
        <f>'III. Database'!V60</f>
        <v>0.3741565</v>
      </c>
      <c r="N60" s="126">
        <f>'III. Database'!W60</f>
        <v>0.31231700000000001</v>
      </c>
      <c r="O60" s="126">
        <f>'III. Database'!Z60</f>
        <v>0.3741565</v>
      </c>
      <c r="P60" s="126">
        <f>'III. Database'!AA60</f>
        <v>0.31231700000000001</v>
      </c>
    </row>
    <row r="61" spans="1:28" ht="47.25" x14ac:dyDescent="0.25">
      <c r="B61" s="115">
        <f>'III. Database'!B61</f>
        <v>0</v>
      </c>
      <c r="C61" s="124" t="str">
        <f>'III. Database'!C61</f>
        <v>Bajželj, Bojana, et al. "Importance of food-demand management for climate mitigation." Nature Climate Change (2014): 924-929.</v>
      </c>
      <c r="D61" s="124" t="str">
        <f>'III. Database'!D61</f>
        <v>http://www.nature.com/nclimate/journal/v4/n10/full/nclimate2353.html</v>
      </c>
      <c r="E61" s="124" t="str">
        <f>'III. Database'!F61</f>
        <v>Reference_1</v>
      </c>
      <c r="F61" s="124" t="str">
        <f>'III. Database'!G61</f>
        <v>"Scenario CT1 (BAU): Current yield rates "</v>
      </c>
      <c r="G61" s="1" t="str">
        <f>'III. Database'!K61</f>
        <v xml:space="preserve"> </v>
      </c>
      <c r="H61" s="125" t="str">
        <f>'III. Database'!L61</f>
        <v>GtCO2e</v>
      </c>
      <c r="I61" s="126">
        <f>'III. Database'!N61</f>
        <v>-3.9230308751136717E-3</v>
      </c>
      <c r="J61" s="126">
        <f>'III. Database'!O61</f>
        <v>-3.9230308751136717E-3</v>
      </c>
      <c r="K61" s="126">
        <f>'III. Database'!R61</f>
        <v>-3.9230308751136717E-3</v>
      </c>
      <c r="L61" s="126">
        <f>'III. Database'!S61</f>
        <v>-3.9230308751136717E-3</v>
      </c>
      <c r="M61" s="126" t="str">
        <f>'III. Database'!V61</f>
        <v/>
      </c>
      <c r="N61" s="126" t="str">
        <f>'III. Database'!W61</f>
        <v/>
      </c>
      <c r="O61" s="126" t="str">
        <f>'III. Database'!Z61</f>
        <v/>
      </c>
      <c r="P61" s="126" t="str">
        <f>'III. Database'!AA61</f>
        <v/>
      </c>
    </row>
    <row r="62" spans="1:28" ht="47.25" customHeight="1" x14ac:dyDescent="0.25">
      <c r="B62" s="115">
        <f>'III. Database'!B62</f>
        <v>0</v>
      </c>
      <c r="C62" s="124">
        <f>'III. Database'!C62</f>
        <v>0</v>
      </c>
      <c r="D62" s="124" t="str">
        <f>'III. Database'!D62</f>
        <v xml:space="preserve"> </v>
      </c>
      <c r="E62" s="124" t="str">
        <f>'III. Database'!F62</f>
        <v>Abatement_1</v>
      </c>
      <c r="F62" s="124" t="str">
        <f>'III. Database'!G62</f>
        <v>"Scenario YG3: Closure of yield gap; With 50% food waste reduction; With Healthy Diets"</v>
      </c>
      <c r="G62" s="1" t="str">
        <f>'III. Database'!K62</f>
        <v>Single Scenario</v>
      </c>
      <c r="H62" s="125" t="str">
        <f>'III. Database'!L62</f>
        <v>GtCO2e</v>
      </c>
      <c r="I62" s="126">
        <f>'III. Database'!N62</f>
        <v>-0.15495971956699003</v>
      </c>
      <c r="J62" s="126">
        <f>'III. Database'!O62</f>
        <v>-0.15495971956699003</v>
      </c>
      <c r="K62" s="126">
        <f>'III. Database'!R62</f>
        <v>-0.15495971956699003</v>
      </c>
      <c r="L62" s="126">
        <f>'III. Database'!S62</f>
        <v>-0.15495971956699003</v>
      </c>
      <c r="M62" s="126">
        <f>'III. Database'!V62</f>
        <v>0.15103668869187636</v>
      </c>
      <c r="N62" s="126">
        <f>'III. Database'!W62</f>
        <v>0.15103668869187636</v>
      </c>
      <c r="O62" s="126">
        <f>'III. Database'!Z62</f>
        <v>0.15103668869187636</v>
      </c>
      <c r="P62" s="126">
        <f>'III. Database'!AA62</f>
        <v>0.15103668869187636</v>
      </c>
    </row>
    <row r="63" spans="1:28" ht="63" x14ac:dyDescent="0.25">
      <c r="B63" s="115" t="str">
        <f>'III. Database'!B63</f>
        <v>United States</v>
      </c>
      <c r="C63" s="124" t="str">
        <f>'III. Database'!C63</f>
        <v>Creyts, Jon, Anton Derkach and Scott Nyquist. "Reducing U.S. Greenhouse Gas Emissions: How Much at What Cost? U.S. Greenhouse Gas Abatement Mapping Initiative." Executive Report. 2007.</v>
      </c>
      <c r="D63" s="124" t="str">
        <f>'III. Database'!D63</f>
        <v>http://www.mckinsey.com/client_service/sustainability/latest_thinking/reducing_us_greenhouse_gas_emissions</v>
      </c>
      <c r="E63" s="124" t="str">
        <f>'III. Database'!F63</f>
        <v>Reference_1</v>
      </c>
      <c r="F63" s="124" t="str">
        <f>'III. Database'!G63</f>
        <v>"Reference Scenario: Agriculture"</v>
      </c>
      <c r="G63" s="1">
        <f>'III. Database'!K63</f>
        <v>0</v>
      </c>
      <c r="H63" s="125" t="str">
        <f>'III. Database'!L63</f>
        <v>GtCO2e</v>
      </c>
      <c r="I63" s="126">
        <f>'III. Database'!N63</f>
        <v>0.40300000000000002</v>
      </c>
      <c r="J63" s="126">
        <f>'III. Database'!O63</f>
        <v>0.58199999999999996</v>
      </c>
      <c r="K63" s="126">
        <f>'III. Database'!R63</f>
        <v>0.40300000000000002</v>
      </c>
      <c r="L63" s="126">
        <f>'III. Database'!S63</f>
        <v>0.58199999999999996</v>
      </c>
      <c r="M63" s="126" t="str">
        <f>'III. Database'!V63</f>
        <v/>
      </c>
      <c r="N63" s="126" t="str">
        <f>'III. Database'!W63</f>
        <v/>
      </c>
      <c r="O63" s="126" t="str">
        <f>'III. Database'!Z63</f>
        <v/>
      </c>
      <c r="P63" s="126" t="str">
        <f>'III. Database'!AA63</f>
        <v/>
      </c>
    </row>
    <row r="64" spans="1:28" ht="47.25" customHeight="1" x14ac:dyDescent="0.25">
      <c r="B64" s="115">
        <f>'III. Database'!B64</f>
        <v>0</v>
      </c>
      <c r="C64" s="124">
        <f>'III. Database'!C64</f>
        <v>0</v>
      </c>
      <c r="D64" s="124" t="str">
        <f>'III. Database'!D64</f>
        <v xml:space="preserve"> </v>
      </c>
      <c r="E64" s="124" t="str">
        <f>'III. Database'!F64</f>
        <v>Abatement_1</v>
      </c>
      <c r="F64" s="124" t="str">
        <f>'III. Database'!G64</f>
        <v>"Abatement Agriculture+ Forestry"</v>
      </c>
      <c r="G64" s="1" t="str">
        <f>'III. Database'!K64</f>
        <v>Single Scenario</v>
      </c>
      <c r="H64" s="125" t="str">
        <f>'III. Database'!L64</f>
        <v>GtCO2e</v>
      </c>
      <c r="I64" s="126">
        <f>'III. Database'!N64</f>
        <v>0.40300000000000002</v>
      </c>
      <c r="J64" s="126">
        <f>'III. Database'!O64</f>
        <v>0.14199999999999996</v>
      </c>
      <c r="K64" s="126">
        <f>'III. Database'!R64</f>
        <v>0.40300000000000002</v>
      </c>
      <c r="L64" s="126">
        <f>'III. Database'!S64</f>
        <v>0.14199999999999996</v>
      </c>
      <c r="M64" s="126">
        <f>'III. Database'!V64</f>
        <v>0</v>
      </c>
      <c r="N64" s="126">
        <f>'III. Database'!W64</f>
        <v>0.44</v>
      </c>
      <c r="O64" s="126">
        <f>'III. Database'!Z64</f>
        <v>0</v>
      </c>
      <c r="P64" s="126">
        <f>'III. Database'!AA64</f>
        <v>0.44</v>
      </c>
    </row>
    <row r="65" spans="2:16" ht="47.25" customHeight="1" x14ac:dyDescent="0.25">
      <c r="B65" s="115">
        <f>'III. Database'!B65</f>
        <v>0</v>
      </c>
      <c r="C65" s="124" t="str">
        <f>'III. Database'!C65</f>
        <v>Bajželj, Bojana, et al. "Importance of food-demand management for climate mitigation." Nature Climate Change (2014): 924-929.</v>
      </c>
      <c r="D65" s="124" t="str">
        <f>'III. Database'!D65</f>
        <v>http://www.nature.com/nclimate/journal/v4/n10/full/nclimate2353.html</v>
      </c>
      <c r="E65" s="124" t="str">
        <f>'III. Database'!F65</f>
        <v>Reference_1</v>
      </c>
      <c r="F65" s="124" t="str">
        <f>'III. Database'!G65</f>
        <v>"Scenario CT1 (BAU): Current yield rates "</v>
      </c>
      <c r="G65" s="1">
        <f>'III. Database'!K65</f>
        <v>0</v>
      </c>
      <c r="H65" s="125" t="str">
        <f>'III. Database'!L65</f>
        <v>GtCO2e</v>
      </c>
      <c r="I65" s="126">
        <f>'III. Database'!N65</f>
        <v>0.31497993119266066</v>
      </c>
      <c r="J65" s="126">
        <f>'III. Database'!O65</f>
        <v>0.94493979357798197</v>
      </c>
      <c r="K65" s="126">
        <f>'III. Database'!R65</f>
        <v>0.31497993119266066</v>
      </c>
      <c r="L65" s="126">
        <f>'III. Database'!S65</f>
        <v>0.94493979357798197</v>
      </c>
      <c r="M65" s="126" t="str">
        <f>'III. Database'!V65</f>
        <v/>
      </c>
      <c r="N65" s="126" t="str">
        <f>'III. Database'!W65</f>
        <v/>
      </c>
      <c r="O65" s="126" t="str">
        <f>'III. Database'!Z65</f>
        <v/>
      </c>
      <c r="P65" s="126" t="str">
        <f>'III. Database'!AA65</f>
        <v/>
      </c>
    </row>
    <row r="66" spans="2:16" ht="47.25" customHeight="1" x14ac:dyDescent="0.25">
      <c r="B66" s="115">
        <f>'III. Database'!B66</f>
        <v>0</v>
      </c>
      <c r="C66" s="124">
        <f>'III. Database'!C66</f>
        <v>0</v>
      </c>
      <c r="D66" s="124" t="str">
        <f>'III. Database'!D66</f>
        <v xml:space="preserve"> </v>
      </c>
      <c r="E66" s="124" t="str">
        <f>'III. Database'!F66</f>
        <v>Abatement_1</v>
      </c>
      <c r="F66" s="124" t="str">
        <f>'III. Database'!G66</f>
        <v>"Scenario YG3: Closure of yield gap; With 50% food waste reduction; With Healthy Diets"</v>
      </c>
      <c r="G66" s="1" t="str">
        <f>'III. Database'!K66</f>
        <v>Single Scenario</v>
      </c>
      <c r="H66" s="125" t="str">
        <f>'III. Database'!L66</f>
        <v>GtCO2e</v>
      </c>
      <c r="I66" s="126">
        <f>'III. Database'!N66</f>
        <v>-1.6198967889908258</v>
      </c>
      <c r="J66" s="126">
        <f>'III. Database'!O66</f>
        <v>-4.8596903669724778</v>
      </c>
      <c r="K66" s="126">
        <f>'III. Database'!R66</f>
        <v>-1.6198967889908258</v>
      </c>
      <c r="L66" s="126">
        <f>'III. Database'!S66</f>
        <v>-4.8596903669724778</v>
      </c>
      <c r="M66" s="126">
        <f>'III. Database'!V66</f>
        <v>1.9348767201834864</v>
      </c>
      <c r="N66" s="126">
        <f>'III. Database'!W66</f>
        <v>5.8046301605504595</v>
      </c>
      <c r="O66" s="126">
        <f>'III. Database'!Z66</f>
        <v>1.9348767201834864</v>
      </c>
      <c r="P66" s="126">
        <f>'III. Database'!AA66</f>
        <v>5.8046301605504595</v>
      </c>
    </row>
    <row r="67" spans="2:16" x14ac:dyDescent="0.25">
      <c r="B67" s="115">
        <f>'III. Database'!B67</f>
        <v>0</v>
      </c>
      <c r="C67" s="124">
        <f>'III. Database'!C67</f>
        <v>0</v>
      </c>
      <c r="D67" s="124" t="str">
        <f>'III. Database'!D67</f>
        <v xml:space="preserve"> </v>
      </c>
      <c r="E67" s="124">
        <f>'III. Database'!F67</f>
        <v>0</v>
      </c>
      <c r="F67" s="124" t="str">
        <f>'III. Database'!G67</f>
        <v xml:space="preserve"> </v>
      </c>
      <c r="G67" s="1">
        <f>'III. Database'!K67</f>
        <v>0</v>
      </c>
      <c r="H67" s="125" t="str">
        <f>'III. Database'!L67</f>
        <v xml:space="preserve"> </v>
      </c>
      <c r="I67" s="126" t="str">
        <f>'III. Database'!N67</f>
        <v xml:space="preserve"> </v>
      </c>
      <c r="J67" s="126" t="str">
        <f>'III. Database'!O67</f>
        <v xml:space="preserve"> </v>
      </c>
      <c r="K67" s="126" t="str">
        <f>'III. Database'!R67</f>
        <v xml:space="preserve"> </v>
      </c>
      <c r="L67" s="126" t="str">
        <f>'III. Database'!S67</f>
        <v xml:space="preserve"> </v>
      </c>
      <c r="M67" s="126">
        <f>'III. Database'!V67</f>
        <v>0</v>
      </c>
      <c r="N67" s="126">
        <f>'III. Database'!W67</f>
        <v>0</v>
      </c>
      <c r="O67" s="126" t="str">
        <f>'III. Database'!Z67</f>
        <v/>
      </c>
      <c r="P67" s="126" t="str">
        <f>'III. Database'!AA67</f>
        <v/>
      </c>
    </row>
    <row r="68" spans="2:16" ht="47.25" customHeight="1" x14ac:dyDescent="0.25">
      <c r="B68" s="115">
        <f>'III. Database'!B68</f>
        <v>0</v>
      </c>
      <c r="C68" s="124">
        <f>'III. Database'!C68</f>
        <v>0</v>
      </c>
      <c r="D68" s="124" t="str">
        <f>'III. Database'!D68</f>
        <v xml:space="preserve"> </v>
      </c>
      <c r="E68" s="124">
        <f>'III. Database'!F68</f>
        <v>0</v>
      </c>
      <c r="F68" s="124" t="str">
        <f>'III. Database'!G68</f>
        <v xml:space="preserve"> </v>
      </c>
      <c r="G68" s="1">
        <f>'III. Database'!K68</f>
        <v>0</v>
      </c>
      <c r="H68" s="125">
        <f>'III. Database'!L68</f>
        <v>0</v>
      </c>
      <c r="I68" s="126">
        <f>'III. Database'!N68</f>
        <v>0</v>
      </c>
      <c r="J68" s="126">
        <f>'III. Database'!O68</f>
        <v>0</v>
      </c>
      <c r="K68" s="126">
        <f>'III. Database'!R68</f>
        <v>0</v>
      </c>
      <c r="L68" s="126">
        <f>'III. Database'!S68</f>
        <v>0</v>
      </c>
      <c r="M68" s="126">
        <f>'III. Database'!V68</f>
        <v>0</v>
      </c>
      <c r="N68" s="126">
        <f>'III. Database'!W68</f>
        <v>0</v>
      </c>
      <c r="O68" s="126" t="str">
        <f>'III. Database'!Z68</f>
        <v/>
      </c>
      <c r="P68" s="126" t="str">
        <f>'III. Database'!AA68</f>
        <v/>
      </c>
    </row>
    <row r="69" spans="2:16" ht="47.25" customHeight="1" x14ac:dyDescent="0.25">
      <c r="B69" s="115">
        <f>'III. Database'!B69</f>
        <v>0</v>
      </c>
      <c r="C69" s="124">
        <f>'III. Database'!C69</f>
        <v>0</v>
      </c>
      <c r="D69" s="124" t="str">
        <f>'III. Database'!D69</f>
        <v xml:space="preserve"> </v>
      </c>
      <c r="E69" s="124">
        <f>'III. Database'!F69</f>
        <v>0</v>
      </c>
      <c r="F69" s="124" t="str">
        <f>'III. Database'!G69</f>
        <v xml:space="preserve"> </v>
      </c>
      <c r="G69" s="1">
        <f>'III. Database'!K69</f>
        <v>0</v>
      </c>
      <c r="H69" s="125">
        <f>'III. Database'!L69</f>
        <v>0</v>
      </c>
      <c r="I69" s="126">
        <f>'III. Database'!N69</f>
        <v>0</v>
      </c>
      <c r="J69" s="126">
        <f>'III. Database'!O69</f>
        <v>0</v>
      </c>
      <c r="K69" s="126">
        <f>'III. Database'!R69</f>
        <v>0</v>
      </c>
      <c r="L69" s="126">
        <f>'III. Database'!S69</f>
        <v>0</v>
      </c>
      <c r="M69" s="126">
        <f>'III. Database'!V69</f>
        <v>0</v>
      </c>
      <c r="N69" s="126">
        <f>'III. Database'!W69</f>
        <v>0</v>
      </c>
      <c r="O69" s="126" t="str">
        <f>'III. Database'!Z69</f>
        <v/>
      </c>
      <c r="P69" s="126" t="str">
        <f>'III. Database'!AA69</f>
        <v/>
      </c>
    </row>
    <row r="70" spans="2:16" ht="47.25" customHeight="1" x14ac:dyDescent="0.25">
      <c r="B70" s="115">
        <f>'III. Database'!B70</f>
        <v>0</v>
      </c>
      <c r="C70" s="124">
        <f>'III. Database'!C70</f>
        <v>0</v>
      </c>
      <c r="D70" s="124" t="str">
        <f>'III. Database'!D70</f>
        <v xml:space="preserve"> </v>
      </c>
      <c r="E70" s="124">
        <f>'III. Database'!F70</f>
        <v>0</v>
      </c>
      <c r="F70" s="124" t="str">
        <f>'III. Database'!G70</f>
        <v xml:space="preserve"> </v>
      </c>
      <c r="G70" s="1">
        <f>'III. Database'!K70</f>
        <v>0</v>
      </c>
      <c r="H70" s="125">
        <f>'III. Database'!L70</f>
        <v>0</v>
      </c>
      <c r="I70" s="126">
        <f>'III. Database'!N70</f>
        <v>0</v>
      </c>
      <c r="J70" s="126">
        <f>'III. Database'!O70</f>
        <v>0</v>
      </c>
      <c r="K70" s="126">
        <f>'III. Database'!R70</f>
        <v>0</v>
      </c>
      <c r="L70" s="126">
        <f>'III. Database'!S70</f>
        <v>0</v>
      </c>
      <c r="M70" s="126">
        <f>'III. Database'!V70</f>
        <v>0</v>
      </c>
      <c r="N70" s="126">
        <f>'III. Database'!W70</f>
        <v>0</v>
      </c>
      <c r="O70" s="126" t="str">
        <f>'III. Database'!Z70</f>
        <v/>
      </c>
      <c r="P70" s="126" t="str">
        <f>'III. Database'!AA70</f>
        <v/>
      </c>
    </row>
    <row r="71" spans="2:16" ht="47.25" customHeight="1" x14ac:dyDescent="0.25">
      <c r="B71" s="115">
        <f>'III. Database'!B71</f>
        <v>0</v>
      </c>
      <c r="C71" s="124">
        <f>'III. Database'!C71</f>
        <v>0</v>
      </c>
      <c r="D71" s="124" t="str">
        <f>'III. Database'!D71</f>
        <v xml:space="preserve"> </v>
      </c>
      <c r="E71" s="124">
        <f>'III. Database'!F71</f>
        <v>0</v>
      </c>
      <c r="F71" s="124" t="str">
        <f>'III. Database'!G71</f>
        <v xml:space="preserve"> </v>
      </c>
      <c r="G71" s="1">
        <f>'III. Database'!K71</f>
        <v>0</v>
      </c>
      <c r="H71" s="125">
        <f>'III. Database'!L71</f>
        <v>0</v>
      </c>
      <c r="I71" s="126">
        <f>'III. Database'!N71</f>
        <v>0</v>
      </c>
      <c r="J71" s="126">
        <f>'III. Database'!O71</f>
        <v>0</v>
      </c>
      <c r="K71" s="126">
        <f>'III. Database'!R71</f>
        <v>0</v>
      </c>
      <c r="L71" s="126">
        <f>'III. Database'!S71</f>
        <v>0</v>
      </c>
      <c r="M71" s="126">
        <f>'III. Database'!V71</f>
        <v>0</v>
      </c>
      <c r="N71" s="126">
        <f>'III. Database'!W71</f>
        <v>0</v>
      </c>
      <c r="O71" s="126" t="str">
        <f>'III. Database'!Z71</f>
        <v/>
      </c>
      <c r="P71" s="126" t="str">
        <f>'III. Database'!AA71</f>
        <v/>
      </c>
    </row>
    <row r="72" spans="2:16" ht="47.25" customHeight="1" x14ac:dyDescent="0.25">
      <c r="B72" s="115">
        <f>'III. Database'!B72</f>
        <v>0</v>
      </c>
      <c r="C72" s="124">
        <f>'III. Database'!C72</f>
        <v>0</v>
      </c>
      <c r="D72" s="124" t="str">
        <f>'III. Database'!D72</f>
        <v xml:space="preserve"> </v>
      </c>
      <c r="E72" s="124">
        <f>'III. Database'!F72</f>
        <v>0</v>
      </c>
      <c r="F72" s="124" t="str">
        <f>'III. Database'!G72</f>
        <v xml:space="preserve"> </v>
      </c>
      <c r="G72" s="1">
        <f>'III. Database'!K72</f>
        <v>0</v>
      </c>
      <c r="H72" s="125">
        <f>'III. Database'!L72</f>
        <v>0</v>
      </c>
      <c r="I72" s="126">
        <f>'III. Database'!N72</f>
        <v>0</v>
      </c>
      <c r="J72" s="126">
        <f>'III. Database'!O72</f>
        <v>0</v>
      </c>
      <c r="K72" s="126">
        <f>'III. Database'!R72</f>
        <v>0</v>
      </c>
      <c r="L72" s="126">
        <f>'III. Database'!S72</f>
        <v>0</v>
      </c>
      <c r="M72" s="126">
        <f>'III. Database'!V72</f>
        <v>0</v>
      </c>
      <c r="N72" s="126">
        <f>'III. Database'!W72</f>
        <v>0</v>
      </c>
      <c r="O72" s="126" t="str">
        <f>'III. Database'!Z72</f>
        <v/>
      </c>
      <c r="P72" s="126" t="str">
        <f>'III. Database'!AA72</f>
        <v/>
      </c>
    </row>
    <row r="73" spans="2:16" ht="47.25" customHeight="1" x14ac:dyDescent="0.25">
      <c r="B73" s="115">
        <f>'III. Database'!B73</f>
        <v>0</v>
      </c>
      <c r="C73" s="124">
        <f>'III. Database'!C73</f>
        <v>0</v>
      </c>
      <c r="D73" s="124" t="str">
        <f>'III. Database'!D73</f>
        <v xml:space="preserve"> </v>
      </c>
      <c r="E73" s="124">
        <f>'III. Database'!F73</f>
        <v>0</v>
      </c>
      <c r="F73" s="124" t="str">
        <f>'III. Database'!G73</f>
        <v xml:space="preserve"> </v>
      </c>
      <c r="G73" s="1">
        <f>'III. Database'!K73</f>
        <v>0</v>
      </c>
      <c r="H73" s="125">
        <f>'III. Database'!L73</f>
        <v>0</v>
      </c>
      <c r="I73" s="126">
        <f>'III. Database'!N73</f>
        <v>0</v>
      </c>
      <c r="J73" s="126">
        <f>'III. Database'!O73</f>
        <v>0</v>
      </c>
      <c r="K73" s="126">
        <f>'III. Database'!R73</f>
        <v>0</v>
      </c>
      <c r="L73" s="126">
        <f>'III. Database'!S73</f>
        <v>0</v>
      </c>
      <c r="M73" s="126">
        <f>'III. Database'!V73</f>
        <v>0</v>
      </c>
      <c r="N73" s="126">
        <f>'III. Database'!W73</f>
        <v>0</v>
      </c>
      <c r="O73" s="126">
        <f>'III. Database'!Z73</f>
        <v>0</v>
      </c>
      <c r="P73" s="126">
        <f>'III. Database'!AA73</f>
        <v>0</v>
      </c>
    </row>
    <row r="74" spans="2:16" ht="47.25" customHeight="1" x14ac:dyDescent="0.25">
      <c r="B74" s="115">
        <f>'III. Database'!B74</f>
        <v>0</v>
      </c>
      <c r="C74" s="124">
        <f>'III. Database'!C74</f>
        <v>0</v>
      </c>
      <c r="D74" s="124" t="str">
        <f>'III. Database'!D74</f>
        <v xml:space="preserve"> </v>
      </c>
      <c r="E74" s="124">
        <f>'III. Database'!F74</f>
        <v>0</v>
      </c>
      <c r="F74" s="124" t="str">
        <f>'III. Database'!G74</f>
        <v xml:space="preserve"> </v>
      </c>
      <c r="G74" s="1">
        <f>'III. Database'!K74</f>
        <v>0</v>
      </c>
      <c r="H74" s="125">
        <f>'III. Database'!L74</f>
        <v>0</v>
      </c>
      <c r="I74" s="126">
        <f>'III. Database'!N74</f>
        <v>0</v>
      </c>
      <c r="J74" s="126">
        <f>'III. Database'!O74</f>
        <v>0</v>
      </c>
      <c r="K74" s="126">
        <f>'III. Database'!R74</f>
        <v>0</v>
      </c>
      <c r="L74" s="126">
        <f>'III. Database'!S74</f>
        <v>0</v>
      </c>
      <c r="M74" s="126">
        <f>'III. Database'!V74</f>
        <v>0</v>
      </c>
      <c r="N74" s="126">
        <f>'III. Database'!W74</f>
        <v>0</v>
      </c>
      <c r="O74" s="126">
        <f>'III. Database'!Z74</f>
        <v>0</v>
      </c>
      <c r="P74" s="126">
        <f>'III. Database'!AA74</f>
        <v>0</v>
      </c>
    </row>
    <row r="75" spans="2:16" ht="47.25" customHeight="1" x14ac:dyDescent="0.25">
      <c r="B75" s="115">
        <f>'III. Database'!B75</f>
        <v>0</v>
      </c>
      <c r="C75" s="124">
        <f>'III. Database'!C75</f>
        <v>0</v>
      </c>
      <c r="D75" s="124" t="str">
        <f>'III. Database'!D75</f>
        <v xml:space="preserve"> </v>
      </c>
      <c r="E75" s="124">
        <f>'III. Database'!F75</f>
        <v>0</v>
      </c>
      <c r="F75" s="124" t="str">
        <f>'III. Database'!G75</f>
        <v xml:space="preserve"> </v>
      </c>
      <c r="G75" s="1">
        <f>'III. Database'!K75</f>
        <v>0</v>
      </c>
      <c r="H75" s="125">
        <f>'III. Database'!L75</f>
        <v>0</v>
      </c>
      <c r="I75" s="126">
        <f>'III. Database'!N75</f>
        <v>0</v>
      </c>
      <c r="J75" s="126">
        <f>'III. Database'!O75</f>
        <v>0</v>
      </c>
      <c r="K75" s="126">
        <f>'III. Database'!R75</f>
        <v>0</v>
      </c>
      <c r="L75" s="126">
        <f>'III. Database'!S75</f>
        <v>0</v>
      </c>
      <c r="M75" s="126">
        <f>'III. Database'!V75</f>
        <v>0</v>
      </c>
      <c r="N75" s="126">
        <f>'III. Database'!W75</f>
        <v>0</v>
      </c>
      <c r="O75" s="126">
        <f>'III. Database'!Z75</f>
        <v>0</v>
      </c>
      <c r="P75" s="126">
        <f>'III. Database'!AA75</f>
        <v>0</v>
      </c>
    </row>
    <row r="76" spans="2:16" ht="47.25" customHeight="1" x14ac:dyDescent="0.25">
      <c r="B76" s="115">
        <f>'III. Database'!B76</f>
        <v>0</v>
      </c>
      <c r="C76" s="124">
        <f>'III. Database'!C76</f>
        <v>0</v>
      </c>
      <c r="D76" s="124" t="str">
        <f>'III. Database'!D76</f>
        <v xml:space="preserve"> </v>
      </c>
      <c r="E76" s="124">
        <f>'III. Database'!F76</f>
        <v>0</v>
      </c>
      <c r="F76" s="124" t="str">
        <f>'III. Database'!G76</f>
        <v xml:space="preserve"> </v>
      </c>
      <c r="G76" s="1">
        <f>'III. Database'!K76</f>
        <v>0</v>
      </c>
      <c r="H76" s="125">
        <f>'III. Database'!L76</f>
        <v>0</v>
      </c>
      <c r="I76" s="126">
        <f>'III. Database'!N76</f>
        <v>0</v>
      </c>
      <c r="J76" s="126">
        <f>'III. Database'!O76</f>
        <v>0</v>
      </c>
      <c r="K76" s="126">
        <f>'III. Database'!R76</f>
        <v>0</v>
      </c>
      <c r="L76" s="126">
        <f>'III. Database'!S76</f>
        <v>0</v>
      </c>
      <c r="M76" s="126">
        <f>'III. Database'!V76</f>
        <v>0</v>
      </c>
      <c r="N76" s="126">
        <f>'III. Database'!W76</f>
        <v>0</v>
      </c>
      <c r="O76" s="126">
        <f>'III. Database'!Z76</f>
        <v>0</v>
      </c>
      <c r="P76" s="126">
        <f>'III. Database'!AA76</f>
        <v>0</v>
      </c>
    </row>
    <row r="77" spans="2:16" ht="47.25" customHeight="1" x14ac:dyDescent="0.25">
      <c r="B77" s="115">
        <f>'III. Database'!B77</f>
        <v>0</v>
      </c>
      <c r="C77" s="124">
        <f>'III. Database'!C77</f>
        <v>0</v>
      </c>
      <c r="D77" s="124" t="str">
        <f>'III. Database'!D77</f>
        <v xml:space="preserve"> </v>
      </c>
      <c r="E77" s="124">
        <f>'III. Database'!F77</f>
        <v>0</v>
      </c>
      <c r="F77" s="124" t="str">
        <f>'III. Database'!G77</f>
        <v xml:space="preserve"> </v>
      </c>
      <c r="G77" s="1">
        <f>'III. Database'!K77</f>
        <v>0</v>
      </c>
      <c r="H77" s="125">
        <f>'III. Database'!L77</f>
        <v>0</v>
      </c>
      <c r="I77" s="126">
        <f>'III. Database'!N77</f>
        <v>0</v>
      </c>
      <c r="J77" s="126">
        <f>'III. Database'!O77</f>
        <v>0</v>
      </c>
      <c r="K77" s="126">
        <f>'III. Database'!R77</f>
        <v>0</v>
      </c>
      <c r="L77" s="126">
        <f>'III. Database'!S77</f>
        <v>0</v>
      </c>
      <c r="M77" s="126">
        <f>'III. Database'!V77</f>
        <v>0</v>
      </c>
      <c r="N77" s="126">
        <f>'III. Database'!W77</f>
        <v>0</v>
      </c>
      <c r="O77" s="126">
        <f>'III. Database'!Z77</f>
        <v>0</v>
      </c>
      <c r="P77" s="126">
        <f>'III. Database'!AA77</f>
        <v>0</v>
      </c>
    </row>
    <row r="78" spans="2:16" ht="47.25" customHeight="1" x14ac:dyDescent="0.25">
      <c r="B78" s="115">
        <f>'III. Database'!B78</f>
        <v>0</v>
      </c>
      <c r="C78" s="124">
        <f>'III. Database'!C78</f>
        <v>0</v>
      </c>
      <c r="D78" s="124" t="str">
        <f>'III. Database'!D78</f>
        <v xml:space="preserve"> </v>
      </c>
      <c r="E78" s="124">
        <f>'III. Database'!F78</f>
        <v>0</v>
      </c>
      <c r="F78" s="124" t="str">
        <f>'III. Database'!G78</f>
        <v xml:space="preserve"> </v>
      </c>
      <c r="G78" s="1">
        <f>'III. Database'!K78</f>
        <v>0</v>
      </c>
      <c r="H78" s="125">
        <f>'III. Database'!L78</f>
        <v>0</v>
      </c>
      <c r="I78" s="126">
        <f>'III. Database'!N78</f>
        <v>0</v>
      </c>
      <c r="J78" s="126">
        <f>'III. Database'!O78</f>
        <v>0</v>
      </c>
      <c r="K78" s="126">
        <f>'III. Database'!R78</f>
        <v>0</v>
      </c>
      <c r="L78" s="126">
        <f>'III. Database'!S78</f>
        <v>0</v>
      </c>
      <c r="M78" s="126">
        <f>'III. Database'!V78</f>
        <v>0</v>
      </c>
      <c r="N78" s="126">
        <f>'III. Database'!W78</f>
        <v>0</v>
      </c>
      <c r="O78" s="126">
        <f>'III. Database'!Z78</f>
        <v>0</v>
      </c>
      <c r="P78" s="126">
        <f>'III. Database'!AA78</f>
        <v>0</v>
      </c>
    </row>
    <row r="79" spans="2:16" ht="47.25" customHeight="1" x14ac:dyDescent="0.25">
      <c r="B79" s="115">
        <f>'III. Database'!B79</f>
        <v>0</v>
      </c>
      <c r="C79" s="124">
        <f>'III. Database'!C79</f>
        <v>0</v>
      </c>
      <c r="D79" s="124" t="str">
        <f>'III. Database'!D79</f>
        <v xml:space="preserve"> </v>
      </c>
      <c r="E79" s="124">
        <f>'III. Database'!F79</f>
        <v>0</v>
      </c>
      <c r="F79" s="124" t="str">
        <f>'III. Database'!G79</f>
        <v xml:space="preserve"> </v>
      </c>
      <c r="G79" s="1">
        <f>'III. Database'!K79</f>
        <v>0</v>
      </c>
      <c r="H79" s="125">
        <f>'III. Database'!L79</f>
        <v>0</v>
      </c>
      <c r="I79" s="126">
        <f>'III. Database'!N79</f>
        <v>0</v>
      </c>
      <c r="J79" s="126">
        <f>'III. Database'!O79</f>
        <v>0</v>
      </c>
      <c r="K79" s="126">
        <f>'III. Database'!R79</f>
        <v>0</v>
      </c>
      <c r="L79" s="126">
        <f>'III. Database'!S79</f>
        <v>0</v>
      </c>
      <c r="M79" s="126">
        <f>'III. Database'!V79</f>
        <v>0</v>
      </c>
      <c r="N79" s="126">
        <f>'III. Database'!W79</f>
        <v>0</v>
      </c>
      <c r="O79" s="126">
        <f>'III. Database'!Z79</f>
        <v>0</v>
      </c>
      <c r="P79" s="126">
        <f>'III. Database'!AA79</f>
        <v>0</v>
      </c>
    </row>
    <row r="80" spans="2:16" ht="47.25" customHeight="1" x14ac:dyDescent="0.25">
      <c r="B80" s="115">
        <f>'III. Database'!B80</f>
        <v>0</v>
      </c>
      <c r="C80" s="124">
        <f>'III. Database'!C80</f>
        <v>0</v>
      </c>
      <c r="D80" s="124" t="str">
        <f>'III. Database'!D80</f>
        <v xml:space="preserve"> </v>
      </c>
      <c r="E80" s="124">
        <f>'III. Database'!F80</f>
        <v>0</v>
      </c>
      <c r="F80" s="124" t="str">
        <f>'III. Database'!G80</f>
        <v xml:space="preserve"> </v>
      </c>
      <c r="G80" s="1">
        <f>'III. Database'!K80</f>
        <v>0</v>
      </c>
      <c r="H80" s="125">
        <f>'III. Database'!L80</f>
        <v>0</v>
      </c>
      <c r="I80" s="126">
        <f>'III. Database'!N80</f>
        <v>0</v>
      </c>
      <c r="J80" s="126">
        <f>'III. Database'!O80</f>
        <v>0</v>
      </c>
      <c r="K80" s="126">
        <f>'III. Database'!R80</f>
        <v>0</v>
      </c>
      <c r="L80" s="126">
        <f>'III. Database'!S80</f>
        <v>0</v>
      </c>
      <c r="M80" s="126">
        <f>'III. Database'!V80</f>
        <v>0</v>
      </c>
      <c r="N80" s="126">
        <f>'III. Database'!W80</f>
        <v>0</v>
      </c>
      <c r="O80" s="126">
        <f>'III. Database'!Z80</f>
        <v>0</v>
      </c>
      <c r="P80" s="126">
        <f>'III. Database'!AA80</f>
        <v>0</v>
      </c>
    </row>
    <row r="81" spans="2:16" ht="47.25" customHeight="1" x14ac:dyDescent="0.25">
      <c r="B81" s="115">
        <f>'III. Database'!B81</f>
        <v>0</v>
      </c>
      <c r="C81" s="124">
        <f>'III. Database'!C81</f>
        <v>0</v>
      </c>
      <c r="D81" s="124" t="str">
        <f>'III. Database'!D81</f>
        <v xml:space="preserve"> </v>
      </c>
      <c r="E81" s="124">
        <f>'III. Database'!F81</f>
        <v>0</v>
      </c>
      <c r="F81" s="124" t="str">
        <f>'III. Database'!G81</f>
        <v xml:space="preserve"> </v>
      </c>
      <c r="G81" s="1">
        <f>'III. Database'!K81</f>
        <v>0</v>
      </c>
      <c r="H81" s="125">
        <f>'III. Database'!L81</f>
        <v>0</v>
      </c>
      <c r="I81" s="126">
        <f>'III. Database'!N81</f>
        <v>0</v>
      </c>
      <c r="J81" s="126">
        <f>'III. Database'!O81</f>
        <v>0</v>
      </c>
      <c r="K81" s="126">
        <f>'III. Database'!R81</f>
        <v>0</v>
      </c>
      <c r="L81" s="126">
        <f>'III. Database'!S81</f>
        <v>0</v>
      </c>
      <c r="M81" s="126">
        <f>'III. Database'!V81</f>
        <v>0</v>
      </c>
      <c r="N81" s="126">
        <f>'III. Database'!W81</f>
        <v>0</v>
      </c>
      <c r="O81" s="126">
        <f>'III. Database'!Z81</f>
        <v>0</v>
      </c>
      <c r="P81" s="126">
        <f>'III. Database'!AA81</f>
        <v>0</v>
      </c>
    </row>
    <row r="82" spans="2:16" ht="47.25" customHeight="1" x14ac:dyDescent="0.25">
      <c r="B82" s="115">
        <f>'III. Database'!B82</f>
        <v>0</v>
      </c>
      <c r="C82" s="124">
        <f>'III. Database'!C82</f>
        <v>0</v>
      </c>
      <c r="D82" s="124">
        <f>'III. Database'!D82</f>
        <v>0</v>
      </c>
      <c r="E82" s="124">
        <f>'III. Database'!F82</f>
        <v>0</v>
      </c>
      <c r="F82" s="124">
        <f>'III. Database'!G82</f>
        <v>0</v>
      </c>
      <c r="G82" s="1">
        <f>'III. Database'!K82</f>
        <v>0</v>
      </c>
      <c r="H82" s="125">
        <f>'III. Database'!L82</f>
        <v>0</v>
      </c>
      <c r="I82" s="126">
        <f>'III. Database'!N82</f>
        <v>0</v>
      </c>
      <c r="J82" s="126">
        <f>'III. Database'!O82</f>
        <v>0</v>
      </c>
      <c r="K82" s="126">
        <f>'III. Database'!R82</f>
        <v>0</v>
      </c>
      <c r="L82" s="126">
        <f>'III. Database'!S82</f>
        <v>0</v>
      </c>
      <c r="M82" s="126">
        <f>'III. Database'!V82</f>
        <v>0</v>
      </c>
      <c r="N82" s="126">
        <f>'III. Database'!W82</f>
        <v>0</v>
      </c>
      <c r="O82" s="126">
        <f>'III. Database'!Z82</f>
        <v>0</v>
      </c>
      <c r="P82" s="126">
        <f>'III. Database'!AA82</f>
        <v>0</v>
      </c>
    </row>
    <row r="83" spans="2:16" ht="47.25" customHeight="1" x14ac:dyDescent="0.25">
      <c r="B83" s="115">
        <f>'III. Database'!B83</f>
        <v>0</v>
      </c>
      <c r="C83" s="124">
        <f>'III. Database'!C83</f>
        <v>0</v>
      </c>
      <c r="D83" s="124">
        <f>'III. Database'!D83</f>
        <v>0</v>
      </c>
      <c r="E83" s="124">
        <f>'III. Database'!F83</f>
        <v>0</v>
      </c>
      <c r="F83" s="124">
        <f>'III. Database'!G83</f>
        <v>0</v>
      </c>
      <c r="G83" s="1">
        <f>'III. Database'!K83</f>
        <v>0</v>
      </c>
      <c r="H83" s="125">
        <f>'III. Database'!L83</f>
        <v>0</v>
      </c>
      <c r="I83" s="126">
        <f>'III. Database'!N83</f>
        <v>0</v>
      </c>
      <c r="J83" s="126">
        <f>'III. Database'!O83</f>
        <v>0</v>
      </c>
      <c r="K83" s="126">
        <f>'III. Database'!R83</f>
        <v>0</v>
      </c>
      <c r="L83" s="126">
        <f>'III. Database'!S83</f>
        <v>0</v>
      </c>
      <c r="M83" s="126">
        <f>'III. Database'!V83</f>
        <v>0</v>
      </c>
      <c r="N83" s="126">
        <f>'III. Database'!W83</f>
        <v>0</v>
      </c>
      <c r="O83" s="126">
        <f>'III. Database'!Z83</f>
        <v>0</v>
      </c>
      <c r="P83" s="126">
        <f>'III. Database'!AA83</f>
        <v>0</v>
      </c>
    </row>
    <row r="84" spans="2:16" ht="47.25" customHeight="1" x14ac:dyDescent="0.25">
      <c r="B84" s="115">
        <f>'III. Database'!B84</f>
        <v>0</v>
      </c>
      <c r="C84" s="124">
        <f>'III. Database'!C84</f>
        <v>0</v>
      </c>
      <c r="D84" s="124">
        <f>'III. Database'!D84</f>
        <v>0</v>
      </c>
      <c r="E84" s="124">
        <f>'III. Database'!F84</f>
        <v>0</v>
      </c>
      <c r="F84" s="124">
        <f>'III. Database'!G84</f>
        <v>0</v>
      </c>
      <c r="G84" s="1">
        <f>'III. Database'!K84</f>
        <v>0</v>
      </c>
      <c r="H84" s="125">
        <f>'III. Database'!L84</f>
        <v>0</v>
      </c>
      <c r="I84" s="126">
        <f>'III. Database'!N84</f>
        <v>0</v>
      </c>
      <c r="J84" s="126">
        <f>'III. Database'!O84</f>
        <v>0</v>
      </c>
      <c r="K84" s="126">
        <f>'III. Database'!R84</f>
        <v>0</v>
      </c>
      <c r="L84" s="126">
        <f>'III. Database'!S84</f>
        <v>0</v>
      </c>
      <c r="M84" s="126">
        <f>'III. Database'!V84</f>
        <v>0</v>
      </c>
      <c r="N84" s="126">
        <f>'III. Database'!W84</f>
        <v>0</v>
      </c>
      <c r="O84" s="126">
        <f>'III. Database'!Z84</f>
        <v>0</v>
      </c>
      <c r="P84" s="126">
        <f>'III. Database'!AA84</f>
        <v>0</v>
      </c>
    </row>
    <row r="85" spans="2:16" ht="47.25" customHeight="1" x14ac:dyDescent="0.25">
      <c r="B85" s="115">
        <f>'III. Database'!B85</f>
        <v>0</v>
      </c>
      <c r="C85" s="124">
        <f>'III. Database'!C85</f>
        <v>0</v>
      </c>
      <c r="D85" s="124">
        <f>'III. Database'!D85</f>
        <v>0</v>
      </c>
      <c r="E85" s="124">
        <f>'III. Database'!F85</f>
        <v>0</v>
      </c>
      <c r="F85" s="124">
        <f>'III. Database'!G85</f>
        <v>0</v>
      </c>
      <c r="G85" s="1">
        <f>'III. Database'!K85</f>
        <v>0</v>
      </c>
      <c r="H85" s="125">
        <f>'III. Database'!L85</f>
        <v>0</v>
      </c>
      <c r="I85" s="126">
        <f>'III. Database'!N85</f>
        <v>0</v>
      </c>
      <c r="J85" s="126">
        <f>'III. Database'!O85</f>
        <v>0</v>
      </c>
      <c r="K85" s="126">
        <f>'III. Database'!R85</f>
        <v>0</v>
      </c>
      <c r="L85" s="126">
        <f>'III. Database'!S85</f>
        <v>0</v>
      </c>
      <c r="M85" s="126">
        <f>'III. Database'!V85</f>
        <v>0</v>
      </c>
      <c r="N85" s="126">
        <f>'III. Database'!W85</f>
        <v>0</v>
      </c>
      <c r="O85" s="126">
        <f>'III. Database'!Z85</f>
        <v>0</v>
      </c>
      <c r="P85" s="126">
        <f>'III. Database'!AA85</f>
        <v>0</v>
      </c>
    </row>
    <row r="86" spans="2:16" ht="47.25" customHeight="1" x14ac:dyDescent="0.25">
      <c r="B86" s="115">
        <f>'III. Database'!B86</f>
        <v>0</v>
      </c>
      <c r="C86" s="124">
        <f>'III. Database'!C86</f>
        <v>0</v>
      </c>
      <c r="D86" s="124">
        <f>'III. Database'!D86</f>
        <v>0</v>
      </c>
      <c r="E86" s="124">
        <f>'III. Database'!F86</f>
        <v>0</v>
      </c>
      <c r="F86" s="124">
        <f>'III. Database'!G86</f>
        <v>0</v>
      </c>
      <c r="G86" s="1">
        <f>'III. Database'!K86</f>
        <v>0</v>
      </c>
      <c r="H86" s="125">
        <f>'III. Database'!L86</f>
        <v>0</v>
      </c>
      <c r="I86" s="126">
        <f>'III. Database'!N86</f>
        <v>0</v>
      </c>
      <c r="J86" s="126">
        <f>'III. Database'!O86</f>
        <v>0</v>
      </c>
      <c r="K86" s="126">
        <f>'III. Database'!R86</f>
        <v>0</v>
      </c>
      <c r="L86" s="126">
        <f>'III. Database'!S86</f>
        <v>0</v>
      </c>
      <c r="M86" s="126">
        <f>'III. Database'!V86</f>
        <v>0</v>
      </c>
      <c r="N86" s="126">
        <f>'III. Database'!W86</f>
        <v>0</v>
      </c>
      <c r="O86" s="126">
        <f>'III. Database'!Z86</f>
        <v>0</v>
      </c>
      <c r="P86" s="126">
        <f>'III. Database'!AA86</f>
        <v>0</v>
      </c>
    </row>
    <row r="87" spans="2:16" ht="47.25" customHeight="1" x14ac:dyDescent="0.25">
      <c r="B87" s="115">
        <f>'III. Database'!B87</f>
        <v>0</v>
      </c>
      <c r="C87" s="124">
        <f>'III. Database'!C87</f>
        <v>0</v>
      </c>
      <c r="D87" s="124">
        <f>'III. Database'!D87</f>
        <v>0</v>
      </c>
      <c r="E87" s="124">
        <f>'III. Database'!F87</f>
        <v>0</v>
      </c>
      <c r="F87" s="124">
        <f>'III. Database'!G87</f>
        <v>0</v>
      </c>
      <c r="G87" s="1">
        <f>'III. Database'!K87</f>
        <v>0</v>
      </c>
      <c r="H87" s="125">
        <f>'III. Database'!L87</f>
        <v>0</v>
      </c>
      <c r="I87" s="126">
        <f>'III. Database'!N87</f>
        <v>0</v>
      </c>
      <c r="J87" s="126">
        <f>'III. Database'!O87</f>
        <v>0</v>
      </c>
      <c r="K87" s="126">
        <f>'III. Database'!R87</f>
        <v>0</v>
      </c>
      <c r="L87" s="126">
        <f>'III. Database'!S87</f>
        <v>0</v>
      </c>
      <c r="M87" s="126">
        <f>'III. Database'!V87</f>
        <v>0</v>
      </c>
      <c r="N87" s="126">
        <f>'III. Database'!W87</f>
        <v>0</v>
      </c>
      <c r="O87" s="126">
        <f>'III. Database'!Z87</f>
        <v>0</v>
      </c>
      <c r="P87" s="126">
        <f>'III. Database'!AA87</f>
        <v>0</v>
      </c>
    </row>
    <row r="88" spans="2:16" ht="47.25" customHeight="1" x14ac:dyDescent="0.25">
      <c r="B88" s="115">
        <f>'III. Database'!B88</f>
        <v>0</v>
      </c>
      <c r="C88" s="124">
        <f>'III. Database'!C88</f>
        <v>0</v>
      </c>
      <c r="D88" s="124">
        <f>'III. Database'!D88</f>
        <v>0</v>
      </c>
      <c r="E88" s="124">
        <f>'III. Database'!F88</f>
        <v>0</v>
      </c>
      <c r="F88" s="124">
        <f>'III. Database'!G88</f>
        <v>0</v>
      </c>
      <c r="G88" s="1">
        <f>'III. Database'!K88</f>
        <v>0</v>
      </c>
      <c r="H88" s="125">
        <f>'III. Database'!L88</f>
        <v>0</v>
      </c>
      <c r="I88" s="126">
        <f>'III. Database'!N88</f>
        <v>0</v>
      </c>
      <c r="J88" s="126">
        <f>'III. Database'!O88</f>
        <v>0</v>
      </c>
      <c r="K88" s="126">
        <f>'III. Database'!R88</f>
        <v>0</v>
      </c>
      <c r="L88" s="126">
        <f>'III. Database'!S88</f>
        <v>0</v>
      </c>
      <c r="M88" s="126">
        <f>'III. Database'!V88</f>
        <v>0</v>
      </c>
      <c r="N88" s="126">
        <f>'III. Database'!W88</f>
        <v>0</v>
      </c>
      <c r="O88" s="126">
        <f>'III. Database'!Z88</f>
        <v>0</v>
      </c>
      <c r="P88" s="126">
        <f>'III. Database'!AA88</f>
        <v>0</v>
      </c>
    </row>
    <row r="89" spans="2:16" ht="47.25" customHeight="1" x14ac:dyDescent="0.25">
      <c r="B89" s="115">
        <f>'III. Database'!B89</f>
        <v>0</v>
      </c>
      <c r="C89" s="124">
        <f>'III. Database'!C89</f>
        <v>0</v>
      </c>
      <c r="D89" s="124">
        <f>'III. Database'!D89</f>
        <v>0</v>
      </c>
      <c r="E89" s="124">
        <f>'III. Database'!F89</f>
        <v>0</v>
      </c>
      <c r="F89" s="124">
        <f>'III. Database'!G89</f>
        <v>0</v>
      </c>
      <c r="G89" s="1">
        <f>'III. Database'!K89</f>
        <v>0</v>
      </c>
      <c r="H89" s="125">
        <f>'III. Database'!L89</f>
        <v>0</v>
      </c>
      <c r="I89" s="126">
        <f>'III. Database'!N89</f>
        <v>0</v>
      </c>
      <c r="J89" s="126">
        <f>'III. Database'!O89</f>
        <v>0</v>
      </c>
      <c r="K89" s="126">
        <f>'III. Database'!R89</f>
        <v>0</v>
      </c>
      <c r="L89" s="126">
        <f>'III. Database'!S89</f>
        <v>0</v>
      </c>
      <c r="M89" s="126">
        <f>'III. Database'!V89</f>
        <v>0</v>
      </c>
      <c r="N89" s="126">
        <f>'III. Database'!W89</f>
        <v>0</v>
      </c>
      <c r="O89" s="126">
        <f>'III. Database'!Z89</f>
        <v>0</v>
      </c>
      <c r="P89" s="126">
        <f>'III. Database'!AA89</f>
        <v>0</v>
      </c>
    </row>
    <row r="90" spans="2:16" ht="47.25" customHeight="1" x14ac:dyDescent="0.25">
      <c r="B90" s="115">
        <f>'III. Database'!B90</f>
        <v>0</v>
      </c>
      <c r="C90" s="124">
        <f>'III. Database'!C90</f>
        <v>0</v>
      </c>
      <c r="D90" s="124">
        <f>'III. Database'!D90</f>
        <v>0</v>
      </c>
      <c r="E90" s="124">
        <f>'III. Database'!F90</f>
        <v>0</v>
      </c>
      <c r="F90" s="124">
        <f>'III. Database'!G90</f>
        <v>0</v>
      </c>
      <c r="G90" s="1">
        <f>'III. Database'!K90</f>
        <v>0</v>
      </c>
      <c r="H90" s="125">
        <f>'III. Database'!L90</f>
        <v>0</v>
      </c>
      <c r="I90" s="126">
        <f>'III. Database'!N90</f>
        <v>0</v>
      </c>
      <c r="J90" s="126">
        <f>'III. Database'!O90</f>
        <v>0</v>
      </c>
      <c r="K90" s="126">
        <f>'III. Database'!R90</f>
        <v>0</v>
      </c>
      <c r="L90" s="126">
        <f>'III. Database'!S90</f>
        <v>0</v>
      </c>
      <c r="M90" s="126">
        <f>'III. Database'!V90</f>
        <v>0</v>
      </c>
      <c r="N90" s="126">
        <f>'III. Database'!W90</f>
        <v>0</v>
      </c>
      <c r="O90" s="126">
        <f>'III. Database'!Z90</f>
        <v>0</v>
      </c>
      <c r="P90" s="126">
        <f>'III. Database'!AA90</f>
        <v>0</v>
      </c>
    </row>
    <row r="91" spans="2:16" ht="47.25" customHeight="1" x14ac:dyDescent="0.25">
      <c r="B91" s="115">
        <f>'III. Database'!B91</f>
        <v>0</v>
      </c>
      <c r="C91" s="124">
        <f>'III. Database'!C91</f>
        <v>0</v>
      </c>
      <c r="D91" s="124">
        <f>'III. Database'!D91</f>
        <v>0</v>
      </c>
      <c r="E91" s="124">
        <f>'III. Database'!F91</f>
        <v>0</v>
      </c>
      <c r="F91" s="124">
        <f>'III. Database'!G91</f>
        <v>0</v>
      </c>
      <c r="G91" s="1">
        <f>'III. Database'!K91</f>
        <v>0</v>
      </c>
      <c r="H91" s="125">
        <f>'III. Database'!L91</f>
        <v>0</v>
      </c>
      <c r="I91" s="126">
        <f>'III. Database'!N91</f>
        <v>0</v>
      </c>
      <c r="J91" s="126">
        <f>'III. Database'!O91</f>
        <v>0</v>
      </c>
      <c r="K91" s="126">
        <f>'III. Database'!R91</f>
        <v>0</v>
      </c>
      <c r="L91" s="126">
        <f>'III. Database'!S91</f>
        <v>0</v>
      </c>
      <c r="M91" s="126">
        <f>'III. Database'!V91</f>
        <v>0</v>
      </c>
      <c r="N91" s="126">
        <f>'III. Database'!W91</f>
        <v>0</v>
      </c>
      <c r="O91" s="126">
        <f>'III. Database'!Z91</f>
        <v>0</v>
      </c>
      <c r="P91" s="126">
        <f>'III. Database'!AA91</f>
        <v>0</v>
      </c>
    </row>
    <row r="92" spans="2:16" ht="47.25" customHeight="1" x14ac:dyDescent="0.25">
      <c r="B92" s="115">
        <f>'III. Database'!B92</f>
        <v>0</v>
      </c>
      <c r="C92" s="124">
        <f>'III. Database'!C92</f>
        <v>0</v>
      </c>
      <c r="D92" s="124">
        <f>'III. Database'!D92</f>
        <v>0</v>
      </c>
      <c r="E92" s="124">
        <f>'III. Database'!F92</f>
        <v>0</v>
      </c>
      <c r="F92" s="124">
        <f>'III. Database'!G92</f>
        <v>0</v>
      </c>
      <c r="G92" s="1">
        <f>'III. Database'!K92</f>
        <v>0</v>
      </c>
      <c r="H92" s="125">
        <f>'III. Database'!L92</f>
        <v>0</v>
      </c>
      <c r="I92" s="126">
        <f>'III. Database'!N92</f>
        <v>0</v>
      </c>
      <c r="J92" s="126">
        <f>'III. Database'!O92</f>
        <v>0</v>
      </c>
      <c r="K92" s="126">
        <f>'III. Database'!R92</f>
        <v>0</v>
      </c>
      <c r="L92" s="126">
        <f>'III. Database'!S92</f>
        <v>0</v>
      </c>
      <c r="M92" s="126">
        <f>'III. Database'!V92</f>
        <v>0</v>
      </c>
      <c r="N92" s="126">
        <f>'III. Database'!W92</f>
        <v>0</v>
      </c>
      <c r="O92" s="126">
        <f>'III. Database'!Z92</f>
        <v>0</v>
      </c>
      <c r="P92" s="126">
        <f>'III. Database'!AA92</f>
        <v>0</v>
      </c>
    </row>
    <row r="93" spans="2:16" ht="47.25" customHeight="1" x14ac:dyDescent="0.25">
      <c r="B93" s="115">
        <f>'III. Database'!B93</f>
        <v>0</v>
      </c>
      <c r="C93" s="124">
        <f>'III. Database'!C93</f>
        <v>0</v>
      </c>
      <c r="D93" s="124">
        <f>'III. Database'!D93</f>
        <v>0</v>
      </c>
      <c r="E93" s="124">
        <f>'III. Database'!F93</f>
        <v>0</v>
      </c>
      <c r="F93" s="124">
        <f>'III. Database'!G93</f>
        <v>0</v>
      </c>
      <c r="G93" s="1">
        <f>'III. Database'!K93</f>
        <v>0</v>
      </c>
      <c r="H93" s="125">
        <f>'III. Database'!L93</f>
        <v>0</v>
      </c>
      <c r="I93" s="126">
        <f>'III. Database'!N93</f>
        <v>0</v>
      </c>
      <c r="J93" s="126">
        <f>'III. Database'!O93</f>
        <v>0</v>
      </c>
      <c r="K93" s="126">
        <f>'III. Database'!R93</f>
        <v>0</v>
      </c>
      <c r="L93" s="126">
        <f>'III. Database'!S93</f>
        <v>0</v>
      </c>
      <c r="M93" s="126">
        <f>'III. Database'!V93</f>
        <v>0</v>
      </c>
      <c r="N93" s="126">
        <f>'III. Database'!W93</f>
        <v>0</v>
      </c>
      <c r="O93" s="126">
        <f>'III. Database'!Z93</f>
        <v>0</v>
      </c>
      <c r="P93" s="126">
        <f>'III. Database'!AA93</f>
        <v>0</v>
      </c>
    </row>
    <row r="94" spans="2:16" ht="47.25" customHeight="1" x14ac:dyDescent="0.25">
      <c r="B94" s="115">
        <f>'III. Database'!B94</f>
        <v>0</v>
      </c>
      <c r="C94" s="124">
        <f>'III. Database'!C94</f>
        <v>0</v>
      </c>
      <c r="D94" s="124">
        <f>'III. Database'!D94</f>
        <v>0</v>
      </c>
      <c r="E94" s="124">
        <f>'III. Database'!F94</f>
        <v>0</v>
      </c>
      <c r="F94" s="124">
        <f>'III. Database'!G94</f>
        <v>0</v>
      </c>
      <c r="G94" s="1">
        <f>'III. Database'!K94</f>
        <v>0</v>
      </c>
      <c r="H94" s="125">
        <f>'III. Database'!L94</f>
        <v>0</v>
      </c>
      <c r="I94" s="126">
        <f>'III. Database'!N94</f>
        <v>0</v>
      </c>
      <c r="J94" s="126">
        <f>'III. Database'!O94</f>
        <v>0</v>
      </c>
      <c r="K94" s="126">
        <f>'III. Database'!R94</f>
        <v>0</v>
      </c>
      <c r="L94" s="126">
        <f>'III. Database'!S94</f>
        <v>0</v>
      </c>
      <c r="M94" s="126">
        <f>'III. Database'!V94</f>
        <v>0</v>
      </c>
      <c r="N94" s="126">
        <f>'III. Database'!W94</f>
        <v>0</v>
      </c>
      <c r="O94" s="126">
        <f>'III. Database'!Z94</f>
        <v>0</v>
      </c>
      <c r="P94" s="126">
        <f>'III. Database'!AA94</f>
        <v>0</v>
      </c>
    </row>
    <row r="95" spans="2:16" ht="47.25" customHeight="1" x14ac:dyDescent="0.25">
      <c r="B95" s="115">
        <f>'III. Database'!B95</f>
        <v>0</v>
      </c>
      <c r="C95" s="124">
        <f>'III. Database'!C95</f>
        <v>0</v>
      </c>
      <c r="D95" s="124">
        <f>'III. Database'!D95</f>
        <v>0</v>
      </c>
      <c r="E95" s="124">
        <f>'III. Database'!F95</f>
        <v>0</v>
      </c>
      <c r="F95" s="124">
        <f>'III. Database'!G95</f>
        <v>0</v>
      </c>
      <c r="G95" s="1">
        <f>'III. Database'!K95</f>
        <v>0</v>
      </c>
      <c r="H95" s="125">
        <f>'III. Database'!L95</f>
        <v>0</v>
      </c>
      <c r="I95" s="126">
        <f>'III. Database'!N95</f>
        <v>0</v>
      </c>
      <c r="J95" s="126">
        <f>'III. Database'!O95</f>
        <v>0</v>
      </c>
      <c r="K95" s="126">
        <f>'III. Database'!R95</f>
        <v>0</v>
      </c>
      <c r="L95" s="126">
        <f>'III. Database'!S95</f>
        <v>0</v>
      </c>
      <c r="M95" s="126">
        <f>'III. Database'!V95</f>
        <v>0</v>
      </c>
      <c r="N95" s="126">
        <f>'III. Database'!W95</f>
        <v>0</v>
      </c>
      <c r="O95" s="126">
        <f>'III. Database'!Z95</f>
        <v>0</v>
      </c>
      <c r="P95" s="126">
        <f>'III. Database'!AA95</f>
        <v>0</v>
      </c>
    </row>
    <row r="96" spans="2:16" ht="47.25" customHeight="1" x14ac:dyDescent="0.25">
      <c r="B96" s="115">
        <f>'III. Database'!B96</f>
        <v>0</v>
      </c>
      <c r="C96" s="124">
        <f>'III. Database'!C96</f>
        <v>0</v>
      </c>
      <c r="D96" s="124">
        <f>'III. Database'!D96</f>
        <v>0</v>
      </c>
      <c r="E96" s="124">
        <f>'III. Database'!F96</f>
        <v>0</v>
      </c>
      <c r="F96" s="124">
        <f>'III. Database'!G96</f>
        <v>0</v>
      </c>
      <c r="G96" s="1">
        <f>'III. Database'!K96</f>
        <v>0</v>
      </c>
      <c r="H96" s="125">
        <f>'III. Database'!L96</f>
        <v>0</v>
      </c>
      <c r="I96" s="126">
        <f>'III. Database'!N96</f>
        <v>0</v>
      </c>
      <c r="J96" s="126">
        <f>'III. Database'!O96</f>
        <v>0</v>
      </c>
      <c r="K96" s="126">
        <f>'III. Database'!R96</f>
        <v>0</v>
      </c>
      <c r="L96" s="126">
        <f>'III. Database'!S96</f>
        <v>0</v>
      </c>
      <c r="M96" s="126">
        <f>'III. Database'!V96</f>
        <v>0</v>
      </c>
      <c r="N96" s="126">
        <f>'III. Database'!W96</f>
        <v>0</v>
      </c>
      <c r="O96" s="126">
        <f>'III. Database'!Z96</f>
        <v>0</v>
      </c>
      <c r="P96" s="126">
        <f>'III. Database'!AA96</f>
        <v>0</v>
      </c>
    </row>
    <row r="97" spans="2:16" ht="47.25" customHeight="1" x14ac:dyDescent="0.25">
      <c r="B97" s="115">
        <f>'III. Database'!B97</f>
        <v>0</v>
      </c>
      <c r="C97" s="124">
        <f>'III. Database'!C97</f>
        <v>0</v>
      </c>
      <c r="D97" s="124">
        <f>'III. Database'!D97</f>
        <v>0</v>
      </c>
      <c r="E97" s="124">
        <f>'III. Database'!F97</f>
        <v>0</v>
      </c>
      <c r="F97" s="124">
        <f>'III. Database'!G97</f>
        <v>0</v>
      </c>
      <c r="G97" s="1">
        <f>'III. Database'!K97</f>
        <v>0</v>
      </c>
      <c r="H97" s="125">
        <f>'III. Database'!L97</f>
        <v>0</v>
      </c>
      <c r="I97" s="126">
        <f>'III. Database'!N97</f>
        <v>0</v>
      </c>
      <c r="J97" s="126">
        <f>'III. Database'!O97</f>
        <v>0</v>
      </c>
      <c r="K97" s="126">
        <f>'III. Database'!R97</f>
        <v>0</v>
      </c>
      <c r="L97" s="126">
        <f>'III. Database'!S97</f>
        <v>0</v>
      </c>
      <c r="M97" s="126">
        <f>'III. Database'!V97</f>
        <v>0</v>
      </c>
      <c r="N97" s="126">
        <f>'III. Database'!W97</f>
        <v>0</v>
      </c>
      <c r="O97" s="126">
        <f>'III. Database'!Z97</f>
        <v>0</v>
      </c>
      <c r="P97" s="126">
        <f>'III. Database'!AA97</f>
        <v>0</v>
      </c>
    </row>
    <row r="98" spans="2:16" ht="47.25" customHeight="1" x14ac:dyDescent="0.25">
      <c r="B98" s="115">
        <f>'III. Database'!B98</f>
        <v>0</v>
      </c>
      <c r="C98" s="124">
        <f>'III. Database'!C98</f>
        <v>0</v>
      </c>
      <c r="D98" s="124">
        <f>'III. Database'!D98</f>
        <v>0</v>
      </c>
      <c r="E98" s="124">
        <f>'III. Database'!F98</f>
        <v>0</v>
      </c>
      <c r="F98" s="124">
        <f>'III. Database'!G98</f>
        <v>0</v>
      </c>
      <c r="G98" s="1">
        <f>'III. Database'!K98</f>
        <v>0</v>
      </c>
      <c r="H98" s="125">
        <f>'III. Database'!L98</f>
        <v>0</v>
      </c>
      <c r="I98" s="126">
        <f>'III. Database'!N98</f>
        <v>0</v>
      </c>
      <c r="J98" s="126">
        <f>'III. Database'!O98</f>
        <v>0</v>
      </c>
      <c r="K98" s="126">
        <f>'III. Database'!R98</f>
        <v>0</v>
      </c>
      <c r="L98" s="126">
        <f>'III. Database'!S98</f>
        <v>0</v>
      </c>
      <c r="M98" s="126">
        <f>'III. Database'!V98</f>
        <v>0</v>
      </c>
      <c r="N98" s="126">
        <f>'III. Database'!W98</f>
        <v>0</v>
      </c>
      <c r="O98" s="126">
        <f>'III. Database'!Z98</f>
        <v>0</v>
      </c>
      <c r="P98" s="126">
        <f>'III. Database'!AA98</f>
        <v>0</v>
      </c>
    </row>
    <row r="99" spans="2:16" ht="47.25" customHeight="1" x14ac:dyDescent="0.25">
      <c r="B99" s="115">
        <f>'III. Database'!B99</f>
        <v>0</v>
      </c>
      <c r="C99" s="124">
        <f>'III. Database'!C99</f>
        <v>0</v>
      </c>
      <c r="D99" s="124">
        <f>'III. Database'!D99</f>
        <v>0</v>
      </c>
      <c r="E99" s="124">
        <f>'III. Database'!F99</f>
        <v>0</v>
      </c>
      <c r="F99" s="124">
        <f>'III. Database'!G99</f>
        <v>0</v>
      </c>
      <c r="G99" s="1">
        <f>'III. Database'!K99</f>
        <v>0</v>
      </c>
      <c r="H99" s="125">
        <f>'III. Database'!L99</f>
        <v>0</v>
      </c>
      <c r="I99" s="126">
        <f>'III. Database'!N99</f>
        <v>0</v>
      </c>
      <c r="J99" s="126">
        <f>'III. Database'!O99</f>
        <v>0</v>
      </c>
      <c r="K99" s="126">
        <f>'III. Database'!R99</f>
        <v>0</v>
      </c>
      <c r="L99" s="126">
        <f>'III. Database'!S99</f>
        <v>0</v>
      </c>
      <c r="M99" s="126">
        <f>'III. Database'!V99</f>
        <v>0</v>
      </c>
      <c r="N99" s="126">
        <f>'III. Database'!W99</f>
        <v>0</v>
      </c>
      <c r="O99" s="126">
        <f>'III. Database'!Z99</f>
        <v>0</v>
      </c>
      <c r="P99" s="126">
        <f>'III. Database'!AA99</f>
        <v>0</v>
      </c>
    </row>
    <row r="100" spans="2:16" ht="47.25" customHeight="1" x14ac:dyDescent="0.25">
      <c r="B100" s="115">
        <f>'III. Database'!B100</f>
        <v>0</v>
      </c>
      <c r="C100" s="124">
        <f>'III. Database'!C100</f>
        <v>0</v>
      </c>
      <c r="D100" s="124">
        <f>'III. Database'!D100</f>
        <v>0</v>
      </c>
      <c r="E100" s="124">
        <f>'III. Database'!F100</f>
        <v>0</v>
      </c>
      <c r="F100" s="124">
        <f>'III. Database'!G100</f>
        <v>0</v>
      </c>
      <c r="G100" s="1">
        <f>'III. Database'!K100</f>
        <v>0</v>
      </c>
      <c r="H100" s="125">
        <f>'III. Database'!L100</f>
        <v>0</v>
      </c>
      <c r="I100" s="126">
        <f>'III. Database'!N100</f>
        <v>0</v>
      </c>
      <c r="J100" s="126">
        <f>'III. Database'!O100</f>
        <v>0</v>
      </c>
      <c r="K100" s="126">
        <f>'III. Database'!R100</f>
        <v>0</v>
      </c>
      <c r="L100" s="126">
        <f>'III. Database'!S100</f>
        <v>0</v>
      </c>
      <c r="M100" s="126">
        <f>'III. Database'!V100</f>
        <v>0</v>
      </c>
      <c r="N100" s="126">
        <f>'III. Database'!W100</f>
        <v>0</v>
      </c>
      <c r="O100" s="126">
        <f>'III. Database'!Z100</f>
        <v>0</v>
      </c>
      <c r="P100" s="126">
        <f>'III. Database'!AA100</f>
        <v>0</v>
      </c>
    </row>
    <row r="101" spans="2:16" ht="47.25" customHeight="1" x14ac:dyDescent="0.25">
      <c r="B101" s="115">
        <f>'III. Database'!B101</f>
        <v>0</v>
      </c>
      <c r="C101" s="124">
        <f>'III. Database'!C101</f>
        <v>0</v>
      </c>
      <c r="D101" s="124">
        <f>'III. Database'!D101</f>
        <v>0</v>
      </c>
      <c r="E101" s="124">
        <f>'III. Database'!F101</f>
        <v>0</v>
      </c>
      <c r="F101" s="124">
        <f>'III. Database'!G101</f>
        <v>0</v>
      </c>
      <c r="G101" s="1">
        <f>'III. Database'!K101</f>
        <v>0</v>
      </c>
      <c r="H101" s="125">
        <f>'III. Database'!L101</f>
        <v>0</v>
      </c>
      <c r="I101" s="126">
        <f>'III. Database'!N101</f>
        <v>0</v>
      </c>
      <c r="J101" s="126">
        <f>'III. Database'!O101</f>
        <v>0</v>
      </c>
      <c r="K101" s="126">
        <f>'III. Database'!R101</f>
        <v>0</v>
      </c>
      <c r="L101" s="126">
        <f>'III. Database'!S101</f>
        <v>0</v>
      </c>
      <c r="M101" s="126">
        <f>'III. Database'!V101</f>
        <v>0</v>
      </c>
      <c r="N101" s="126">
        <f>'III. Database'!W101</f>
        <v>0</v>
      </c>
      <c r="O101" s="126">
        <f>'III. Database'!Z101</f>
        <v>0</v>
      </c>
      <c r="P101" s="126">
        <f>'III. Database'!AA101</f>
        <v>0</v>
      </c>
    </row>
    <row r="102" spans="2:16" ht="47.25" customHeight="1" x14ac:dyDescent="0.25">
      <c r="B102" s="115">
        <f>'III. Database'!B102</f>
        <v>0</v>
      </c>
      <c r="C102" s="124">
        <f>'III. Database'!C102</f>
        <v>0</v>
      </c>
      <c r="D102" s="124">
        <f>'III. Database'!D102</f>
        <v>0</v>
      </c>
      <c r="E102" s="124">
        <f>'III. Database'!F102</f>
        <v>0</v>
      </c>
      <c r="F102" s="124">
        <f>'III. Database'!G102</f>
        <v>0</v>
      </c>
      <c r="G102" s="1">
        <f>'III. Database'!K102</f>
        <v>0</v>
      </c>
      <c r="H102" s="125">
        <f>'III. Database'!L102</f>
        <v>0</v>
      </c>
      <c r="I102" s="126">
        <f>'III. Database'!N102</f>
        <v>0</v>
      </c>
      <c r="J102" s="126">
        <f>'III. Database'!O102</f>
        <v>0</v>
      </c>
      <c r="K102" s="126">
        <f>'III. Database'!R102</f>
        <v>0</v>
      </c>
      <c r="L102" s="126">
        <f>'III. Database'!S102</f>
        <v>0</v>
      </c>
      <c r="M102" s="126">
        <f>'III. Database'!V102</f>
        <v>0</v>
      </c>
      <c r="N102" s="126">
        <f>'III. Database'!W102</f>
        <v>0</v>
      </c>
      <c r="O102" s="126">
        <f>'III. Database'!Z102</f>
        <v>0</v>
      </c>
      <c r="P102" s="126">
        <f>'III. Database'!AA102</f>
        <v>0</v>
      </c>
    </row>
    <row r="103" spans="2:16" ht="47.25" customHeight="1" x14ac:dyDescent="0.25">
      <c r="B103" s="115">
        <f>'III. Database'!B103</f>
        <v>0</v>
      </c>
      <c r="C103" s="124">
        <f>'III. Database'!C103</f>
        <v>0</v>
      </c>
      <c r="D103" s="124">
        <f>'III. Database'!D103</f>
        <v>0</v>
      </c>
      <c r="E103" s="124">
        <f>'III. Database'!F103</f>
        <v>0</v>
      </c>
      <c r="F103" s="124">
        <f>'III. Database'!G103</f>
        <v>0</v>
      </c>
      <c r="G103" s="1">
        <f>'III. Database'!K103</f>
        <v>0</v>
      </c>
      <c r="H103" s="125">
        <f>'III. Database'!L103</f>
        <v>0</v>
      </c>
      <c r="I103" s="126">
        <f>'III. Database'!N103</f>
        <v>0</v>
      </c>
      <c r="J103" s="126">
        <f>'III. Database'!O103</f>
        <v>0</v>
      </c>
      <c r="K103" s="126">
        <f>'III. Database'!R103</f>
        <v>0</v>
      </c>
      <c r="L103" s="126">
        <f>'III. Database'!S103</f>
        <v>0</v>
      </c>
      <c r="M103" s="126">
        <f>'III. Database'!V103</f>
        <v>0</v>
      </c>
      <c r="N103" s="126">
        <f>'III. Database'!W103</f>
        <v>0</v>
      </c>
      <c r="O103" s="126">
        <f>'III. Database'!Z103</f>
        <v>0</v>
      </c>
      <c r="P103" s="126">
        <f>'III. Database'!AA103</f>
        <v>0</v>
      </c>
    </row>
    <row r="104" spans="2:16" ht="47.25" customHeight="1" x14ac:dyDescent="0.25">
      <c r="B104" s="115">
        <f>'III. Database'!B104</f>
        <v>0</v>
      </c>
      <c r="C104" s="124">
        <f>'III. Database'!C104</f>
        <v>0</v>
      </c>
      <c r="D104" s="124">
        <f>'III. Database'!D104</f>
        <v>0</v>
      </c>
      <c r="E104" s="124">
        <f>'III. Database'!F104</f>
        <v>0</v>
      </c>
      <c r="F104" s="124">
        <f>'III. Database'!G104</f>
        <v>0</v>
      </c>
      <c r="G104" s="1">
        <f>'III. Database'!K104</f>
        <v>0</v>
      </c>
      <c r="H104" s="125">
        <f>'III. Database'!L104</f>
        <v>0</v>
      </c>
      <c r="I104" s="126">
        <f>'III. Database'!N104</f>
        <v>0</v>
      </c>
      <c r="J104" s="126">
        <f>'III. Database'!O104</f>
        <v>0</v>
      </c>
      <c r="K104" s="126">
        <f>'III. Database'!R104</f>
        <v>0</v>
      </c>
      <c r="L104" s="126">
        <f>'III. Database'!S104</f>
        <v>0</v>
      </c>
      <c r="M104" s="126">
        <f>'III. Database'!V104</f>
        <v>0</v>
      </c>
      <c r="N104" s="126">
        <f>'III. Database'!W104</f>
        <v>0</v>
      </c>
      <c r="O104" s="126">
        <f>'III. Database'!Z104</f>
        <v>0</v>
      </c>
      <c r="P104" s="126">
        <f>'III. Database'!AA104</f>
        <v>0</v>
      </c>
    </row>
    <row r="105" spans="2:16" ht="47.25" customHeight="1" x14ac:dyDescent="0.25">
      <c r="B105" s="115">
        <f>'III. Database'!B105</f>
        <v>0</v>
      </c>
      <c r="C105" s="124">
        <f>'III. Database'!C105</f>
        <v>0</v>
      </c>
      <c r="D105" s="124">
        <f>'III. Database'!D105</f>
        <v>0</v>
      </c>
      <c r="E105" s="124">
        <f>'III. Database'!F105</f>
        <v>0</v>
      </c>
      <c r="F105" s="124">
        <f>'III. Database'!G105</f>
        <v>0</v>
      </c>
      <c r="G105" s="1">
        <f>'III. Database'!K105</f>
        <v>0</v>
      </c>
      <c r="H105" s="125">
        <f>'III. Database'!L105</f>
        <v>0</v>
      </c>
      <c r="I105" s="126">
        <f>'III. Database'!N105</f>
        <v>0</v>
      </c>
      <c r="J105" s="126">
        <f>'III. Database'!O105</f>
        <v>0</v>
      </c>
      <c r="K105" s="126">
        <f>'III. Database'!R105</f>
        <v>0</v>
      </c>
      <c r="L105" s="126">
        <f>'III. Database'!S105</f>
        <v>0</v>
      </c>
      <c r="M105" s="126">
        <f>'III. Database'!V105</f>
        <v>0</v>
      </c>
      <c r="N105" s="126">
        <f>'III. Database'!W105</f>
        <v>0</v>
      </c>
      <c r="O105" s="126">
        <f>'III. Database'!Z105</f>
        <v>0</v>
      </c>
      <c r="P105" s="126">
        <f>'III. Database'!AA105</f>
        <v>0</v>
      </c>
    </row>
    <row r="106" spans="2:16" ht="47.25" customHeight="1" x14ac:dyDescent="0.25">
      <c r="B106" s="115">
        <f>'III. Database'!B106</f>
        <v>0</v>
      </c>
      <c r="C106" s="124">
        <f>'III. Database'!C106</f>
        <v>0</v>
      </c>
      <c r="D106" s="124">
        <f>'III. Database'!D106</f>
        <v>0</v>
      </c>
      <c r="E106" s="124">
        <f>'III. Database'!F106</f>
        <v>0</v>
      </c>
      <c r="F106" s="124">
        <f>'III. Database'!G106</f>
        <v>0</v>
      </c>
      <c r="G106" s="1">
        <f>'III. Database'!K106</f>
        <v>0</v>
      </c>
      <c r="H106" s="125">
        <f>'III. Database'!L106</f>
        <v>0</v>
      </c>
      <c r="I106" s="126">
        <f>'III. Database'!N106</f>
        <v>0</v>
      </c>
      <c r="J106" s="126">
        <f>'III. Database'!O106</f>
        <v>0</v>
      </c>
      <c r="K106" s="126">
        <f>'III. Database'!R106</f>
        <v>0</v>
      </c>
      <c r="L106" s="126">
        <f>'III. Database'!S106</f>
        <v>0</v>
      </c>
      <c r="M106" s="126">
        <f>'III. Database'!V106</f>
        <v>0</v>
      </c>
      <c r="N106" s="126">
        <f>'III. Database'!W106</f>
        <v>0</v>
      </c>
      <c r="O106" s="126">
        <f>'III. Database'!Z106</f>
        <v>0</v>
      </c>
      <c r="P106" s="126">
        <f>'III. Database'!AA106</f>
        <v>0</v>
      </c>
    </row>
    <row r="107" spans="2:16" ht="47.25" customHeight="1" x14ac:dyDescent="0.25">
      <c r="B107" s="115">
        <f>'III. Database'!B107</f>
        <v>0</v>
      </c>
      <c r="C107" s="124">
        <f>'III. Database'!C107</f>
        <v>0</v>
      </c>
      <c r="D107" s="124">
        <f>'III. Database'!D107</f>
        <v>0</v>
      </c>
      <c r="E107" s="124">
        <f>'III. Database'!F107</f>
        <v>0</v>
      </c>
      <c r="F107" s="124">
        <f>'III. Database'!G107</f>
        <v>0</v>
      </c>
      <c r="G107" s="1">
        <f>'III. Database'!K107</f>
        <v>0</v>
      </c>
      <c r="H107" s="125">
        <f>'III. Database'!L107</f>
        <v>0</v>
      </c>
      <c r="I107" s="126">
        <f>'III. Database'!N107</f>
        <v>0</v>
      </c>
      <c r="J107" s="126">
        <f>'III. Database'!O107</f>
        <v>0</v>
      </c>
      <c r="K107" s="126">
        <f>'III. Database'!R107</f>
        <v>0</v>
      </c>
      <c r="L107" s="126">
        <f>'III. Database'!S107</f>
        <v>0</v>
      </c>
      <c r="M107" s="126">
        <f>'III. Database'!V107</f>
        <v>0</v>
      </c>
      <c r="N107" s="126">
        <f>'III. Database'!W107</f>
        <v>0</v>
      </c>
      <c r="O107" s="126">
        <f>'III. Database'!Z107</f>
        <v>0</v>
      </c>
      <c r="P107" s="126">
        <f>'III. Database'!AA107</f>
        <v>0</v>
      </c>
    </row>
    <row r="108" spans="2:16" ht="47.25" customHeight="1" x14ac:dyDescent="0.25">
      <c r="B108" s="115">
        <f>'III. Database'!B108</f>
        <v>0</v>
      </c>
      <c r="C108" s="124">
        <f>'III. Database'!C108</f>
        <v>0</v>
      </c>
      <c r="D108" s="124">
        <f>'III. Database'!D108</f>
        <v>0</v>
      </c>
      <c r="E108" s="124">
        <f>'III. Database'!F108</f>
        <v>0</v>
      </c>
      <c r="F108" s="124">
        <f>'III. Database'!G108</f>
        <v>0</v>
      </c>
      <c r="G108" s="1">
        <f>'III. Database'!K108</f>
        <v>0</v>
      </c>
      <c r="H108" s="125">
        <f>'III. Database'!L108</f>
        <v>0</v>
      </c>
      <c r="I108" s="126">
        <f>'III. Database'!N108</f>
        <v>0</v>
      </c>
      <c r="J108" s="126">
        <f>'III. Database'!O108</f>
        <v>0</v>
      </c>
      <c r="K108" s="126">
        <f>'III. Database'!R108</f>
        <v>0</v>
      </c>
      <c r="L108" s="126">
        <f>'III. Database'!S108</f>
        <v>0</v>
      </c>
      <c r="M108" s="126">
        <f>'III. Database'!V108</f>
        <v>0</v>
      </c>
      <c r="N108" s="126">
        <f>'III. Database'!W108</f>
        <v>0</v>
      </c>
      <c r="O108" s="126">
        <f>'III. Database'!Z108</f>
        <v>0</v>
      </c>
      <c r="P108" s="126">
        <f>'III. Database'!AA108</f>
        <v>0</v>
      </c>
    </row>
    <row r="109" spans="2:16" ht="47.25" customHeight="1" x14ac:dyDescent="0.25">
      <c r="B109" s="115">
        <f>'III. Database'!B109</f>
        <v>0</v>
      </c>
      <c r="C109" s="124">
        <f>'III. Database'!C109</f>
        <v>0</v>
      </c>
      <c r="D109" s="124">
        <f>'III. Database'!D109</f>
        <v>0</v>
      </c>
      <c r="E109" s="124">
        <f>'III. Database'!F109</f>
        <v>0</v>
      </c>
      <c r="F109" s="124">
        <f>'III. Database'!G109</f>
        <v>0</v>
      </c>
      <c r="G109" s="1">
        <f>'III. Database'!K109</f>
        <v>0</v>
      </c>
      <c r="H109" s="125">
        <f>'III. Database'!L109</f>
        <v>0</v>
      </c>
      <c r="I109" s="126">
        <f>'III. Database'!N109</f>
        <v>0</v>
      </c>
      <c r="J109" s="126">
        <f>'III. Database'!O109</f>
        <v>0</v>
      </c>
      <c r="K109" s="126">
        <f>'III. Database'!R109</f>
        <v>0</v>
      </c>
      <c r="L109" s="126">
        <f>'III. Database'!S109</f>
        <v>0</v>
      </c>
      <c r="M109" s="126">
        <f>'III. Database'!V109</f>
        <v>0</v>
      </c>
      <c r="N109" s="126">
        <f>'III. Database'!W109</f>
        <v>0</v>
      </c>
      <c r="O109" s="126">
        <f>'III. Database'!Z109</f>
        <v>0</v>
      </c>
      <c r="P109" s="126">
        <f>'III. Database'!AA109</f>
        <v>0</v>
      </c>
    </row>
    <row r="110" spans="2:16" ht="47.25" customHeight="1" x14ac:dyDescent="0.25">
      <c r="B110" s="115">
        <f>'III. Database'!B110</f>
        <v>0</v>
      </c>
      <c r="C110" s="124">
        <f>'III. Database'!C110</f>
        <v>0</v>
      </c>
      <c r="D110" s="124">
        <f>'III. Database'!D110</f>
        <v>0</v>
      </c>
      <c r="E110" s="124">
        <f>'III. Database'!F110</f>
        <v>0</v>
      </c>
      <c r="F110" s="124">
        <f>'III. Database'!G110</f>
        <v>0</v>
      </c>
      <c r="G110" s="1">
        <f>'III. Database'!K110</f>
        <v>0</v>
      </c>
      <c r="H110" s="125">
        <f>'III. Database'!L110</f>
        <v>0</v>
      </c>
      <c r="I110" s="126">
        <f>'III. Database'!N110</f>
        <v>0</v>
      </c>
      <c r="J110" s="126">
        <f>'III. Database'!O110</f>
        <v>0</v>
      </c>
      <c r="K110" s="126">
        <f>'III. Database'!R110</f>
        <v>0</v>
      </c>
      <c r="L110" s="126">
        <f>'III. Database'!S110</f>
        <v>0</v>
      </c>
      <c r="M110" s="126">
        <f>'III. Database'!V110</f>
        <v>0</v>
      </c>
      <c r="N110" s="126">
        <f>'III. Database'!W110</f>
        <v>0</v>
      </c>
      <c r="O110" s="126">
        <f>'III. Database'!Z110</f>
        <v>0</v>
      </c>
      <c r="P110" s="126">
        <f>'III. Database'!AA110</f>
        <v>0</v>
      </c>
    </row>
    <row r="111" spans="2:16" ht="47.25" customHeight="1" x14ac:dyDescent="0.25">
      <c r="B111" s="115">
        <f>'III. Database'!B111</f>
        <v>0</v>
      </c>
      <c r="C111" s="124">
        <f>'III. Database'!C111</f>
        <v>0</v>
      </c>
      <c r="D111" s="124">
        <f>'III. Database'!D111</f>
        <v>0</v>
      </c>
      <c r="E111" s="124">
        <f>'III. Database'!F111</f>
        <v>0</v>
      </c>
      <c r="F111" s="124">
        <f>'III. Database'!G111</f>
        <v>0</v>
      </c>
      <c r="G111" s="1">
        <f>'III. Database'!K111</f>
        <v>0</v>
      </c>
      <c r="H111" s="125">
        <f>'III. Database'!L111</f>
        <v>0</v>
      </c>
      <c r="I111" s="126">
        <f>'III. Database'!N111</f>
        <v>0</v>
      </c>
      <c r="J111" s="126">
        <f>'III. Database'!O111</f>
        <v>0</v>
      </c>
      <c r="K111" s="126">
        <f>'III. Database'!R111</f>
        <v>0</v>
      </c>
      <c r="L111" s="126">
        <f>'III. Database'!S111</f>
        <v>0</v>
      </c>
      <c r="M111" s="126">
        <f>'III. Database'!V111</f>
        <v>0</v>
      </c>
      <c r="N111" s="126">
        <f>'III. Database'!W111</f>
        <v>0</v>
      </c>
      <c r="O111" s="126">
        <f>'III. Database'!Z111</f>
        <v>0</v>
      </c>
      <c r="P111" s="126">
        <f>'III. Database'!AA111</f>
        <v>0</v>
      </c>
    </row>
    <row r="112" spans="2:16" ht="47.25" customHeight="1" x14ac:dyDescent="0.25">
      <c r="B112" s="115">
        <f>'III. Database'!B112</f>
        <v>0</v>
      </c>
      <c r="C112" s="124">
        <f>'III. Database'!C112</f>
        <v>0</v>
      </c>
      <c r="D112" s="124">
        <f>'III. Database'!D112</f>
        <v>0</v>
      </c>
      <c r="E112" s="124">
        <f>'III. Database'!F112</f>
        <v>0</v>
      </c>
      <c r="F112" s="124">
        <f>'III. Database'!G112</f>
        <v>0</v>
      </c>
      <c r="G112" s="1">
        <f>'III. Database'!K112</f>
        <v>0</v>
      </c>
      <c r="H112" s="125">
        <f>'III. Database'!L112</f>
        <v>0</v>
      </c>
      <c r="I112" s="126">
        <f>'III. Database'!N112</f>
        <v>0</v>
      </c>
      <c r="J112" s="126">
        <f>'III. Database'!O112</f>
        <v>0</v>
      </c>
      <c r="K112" s="126">
        <f>'III. Database'!R112</f>
        <v>0</v>
      </c>
      <c r="L112" s="126">
        <f>'III. Database'!S112</f>
        <v>0</v>
      </c>
      <c r="M112" s="126">
        <f>'III. Database'!V112</f>
        <v>0</v>
      </c>
      <c r="N112" s="126">
        <f>'III. Database'!W112</f>
        <v>0</v>
      </c>
      <c r="O112" s="126">
        <f>'III. Database'!Z112</f>
        <v>0</v>
      </c>
      <c r="P112" s="126">
        <f>'III. Database'!AA112</f>
        <v>0</v>
      </c>
    </row>
    <row r="113" spans="2:16" ht="47.25" customHeight="1" x14ac:dyDescent="0.25">
      <c r="B113" s="115">
        <f>'III. Database'!B113</f>
        <v>0</v>
      </c>
      <c r="C113" s="124">
        <f>'III. Database'!C113</f>
        <v>0</v>
      </c>
      <c r="D113" s="124">
        <f>'III. Database'!D113</f>
        <v>0</v>
      </c>
      <c r="E113" s="124">
        <f>'III. Database'!F113</f>
        <v>0</v>
      </c>
      <c r="F113" s="124">
        <f>'III. Database'!G113</f>
        <v>0</v>
      </c>
      <c r="G113" s="1">
        <f>'III. Database'!K113</f>
        <v>0</v>
      </c>
      <c r="H113" s="125">
        <f>'III. Database'!L113</f>
        <v>0</v>
      </c>
      <c r="I113" s="126">
        <f>'III. Database'!N113</f>
        <v>0</v>
      </c>
      <c r="J113" s="126">
        <f>'III. Database'!O113</f>
        <v>0</v>
      </c>
      <c r="K113" s="126">
        <f>'III. Database'!R113</f>
        <v>0</v>
      </c>
      <c r="L113" s="126">
        <f>'III. Database'!S113</f>
        <v>0</v>
      </c>
      <c r="M113" s="126">
        <f>'III. Database'!V113</f>
        <v>0</v>
      </c>
      <c r="N113" s="126">
        <f>'III. Database'!W113</f>
        <v>0</v>
      </c>
      <c r="O113" s="126">
        <f>'III. Database'!Z113</f>
        <v>0</v>
      </c>
      <c r="P113" s="126">
        <f>'III. Database'!AA113</f>
        <v>0</v>
      </c>
    </row>
    <row r="114" spans="2:16" ht="47.25" customHeight="1" x14ac:dyDescent="0.25">
      <c r="B114" s="115">
        <f>'III. Database'!B114</f>
        <v>0</v>
      </c>
      <c r="C114" s="124">
        <f>'III. Database'!C114</f>
        <v>0</v>
      </c>
      <c r="D114" s="124">
        <f>'III. Database'!D114</f>
        <v>0</v>
      </c>
      <c r="E114" s="124">
        <f>'III. Database'!F114</f>
        <v>0</v>
      </c>
      <c r="F114" s="124">
        <f>'III. Database'!G114</f>
        <v>0</v>
      </c>
      <c r="G114" s="1">
        <f>'III. Database'!K114</f>
        <v>0</v>
      </c>
      <c r="H114" s="125">
        <f>'III. Database'!L114</f>
        <v>0</v>
      </c>
      <c r="I114" s="126">
        <f>'III. Database'!N114</f>
        <v>0</v>
      </c>
      <c r="J114" s="126">
        <f>'III. Database'!O114</f>
        <v>0</v>
      </c>
      <c r="K114" s="126">
        <f>'III. Database'!R114</f>
        <v>0</v>
      </c>
      <c r="L114" s="126">
        <f>'III. Database'!S114</f>
        <v>0</v>
      </c>
      <c r="M114" s="126">
        <f>'III. Database'!V114</f>
        <v>0</v>
      </c>
      <c r="N114" s="126">
        <f>'III. Database'!W114</f>
        <v>0</v>
      </c>
      <c r="O114" s="126">
        <f>'III. Database'!Z114</f>
        <v>0</v>
      </c>
      <c r="P114" s="126">
        <f>'III. Database'!AA114</f>
        <v>0</v>
      </c>
    </row>
    <row r="115" spans="2:16" ht="47.25" customHeight="1" x14ac:dyDescent="0.25">
      <c r="B115" s="115">
        <f>'III. Database'!B115</f>
        <v>0</v>
      </c>
      <c r="C115" s="124">
        <f>'III. Database'!C115</f>
        <v>0</v>
      </c>
      <c r="D115" s="124">
        <f>'III. Database'!D115</f>
        <v>0</v>
      </c>
      <c r="E115" s="124">
        <f>'III. Database'!F115</f>
        <v>0</v>
      </c>
      <c r="F115" s="124">
        <f>'III. Database'!G115</f>
        <v>0</v>
      </c>
      <c r="G115" s="1">
        <f>'III. Database'!K115</f>
        <v>0</v>
      </c>
      <c r="H115" s="125">
        <f>'III. Database'!L115</f>
        <v>0</v>
      </c>
      <c r="I115" s="126">
        <f>'III. Database'!N115</f>
        <v>0</v>
      </c>
      <c r="J115" s="126">
        <f>'III. Database'!O115</f>
        <v>0</v>
      </c>
      <c r="K115" s="126">
        <f>'III. Database'!R115</f>
        <v>0</v>
      </c>
      <c r="L115" s="126">
        <f>'III. Database'!S115</f>
        <v>0</v>
      </c>
      <c r="M115" s="126">
        <f>'III. Database'!V115</f>
        <v>0</v>
      </c>
      <c r="N115" s="126">
        <f>'III. Database'!W115</f>
        <v>0</v>
      </c>
      <c r="O115" s="126">
        <f>'III. Database'!Z115</f>
        <v>0</v>
      </c>
      <c r="P115" s="126">
        <f>'III. Database'!AA115</f>
        <v>0</v>
      </c>
    </row>
    <row r="116" spans="2:16" ht="47.25" customHeight="1" x14ac:dyDescent="0.25">
      <c r="B116" s="115">
        <f>'III. Database'!B116</f>
        <v>0</v>
      </c>
      <c r="C116" s="124">
        <f>'III. Database'!C116</f>
        <v>0</v>
      </c>
      <c r="D116" s="124">
        <f>'III. Database'!D116</f>
        <v>0</v>
      </c>
      <c r="E116" s="124">
        <f>'III. Database'!F116</f>
        <v>0</v>
      </c>
      <c r="F116" s="124">
        <f>'III. Database'!G116</f>
        <v>0</v>
      </c>
      <c r="G116" s="1">
        <f>'III. Database'!K116</f>
        <v>0</v>
      </c>
      <c r="H116" s="125">
        <f>'III. Database'!L116</f>
        <v>0</v>
      </c>
      <c r="I116" s="126">
        <f>'III. Database'!N116</f>
        <v>0</v>
      </c>
      <c r="J116" s="126">
        <f>'III. Database'!O116</f>
        <v>0</v>
      </c>
      <c r="K116" s="126">
        <f>'III. Database'!R116</f>
        <v>0</v>
      </c>
      <c r="L116" s="126">
        <f>'III. Database'!S116</f>
        <v>0</v>
      </c>
      <c r="M116" s="126">
        <f>'III. Database'!V116</f>
        <v>0</v>
      </c>
      <c r="N116" s="126">
        <f>'III. Database'!W116</f>
        <v>0</v>
      </c>
      <c r="O116" s="126">
        <f>'III. Database'!Z116</f>
        <v>0</v>
      </c>
      <c r="P116" s="126">
        <f>'III. Database'!AA116</f>
        <v>0</v>
      </c>
    </row>
    <row r="117" spans="2:16" ht="47.25" customHeight="1" x14ac:dyDescent="0.25">
      <c r="B117" s="115">
        <f>'III. Database'!B117</f>
        <v>0</v>
      </c>
      <c r="C117" s="124">
        <f>'III. Database'!C117</f>
        <v>0</v>
      </c>
      <c r="D117" s="124">
        <f>'III. Database'!D117</f>
        <v>0</v>
      </c>
      <c r="E117" s="124">
        <f>'III. Database'!F117</f>
        <v>0</v>
      </c>
      <c r="F117" s="124">
        <f>'III. Database'!G117</f>
        <v>0</v>
      </c>
      <c r="G117" s="1">
        <f>'III. Database'!K117</f>
        <v>0</v>
      </c>
      <c r="H117" s="125">
        <f>'III. Database'!L117</f>
        <v>0</v>
      </c>
      <c r="I117" s="126">
        <f>'III. Database'!N117</f>
        <v>0</v>
      </c>
      <c r="J117" s="126">
        <f>'III. Database'!O117</f>
        <v>0</v>
      </c>
      <c r="K117" s="126">
        <f>'III. Database'!R117</f>
        <v>0</v>
      </c>
      <c r="L117" s="126">
        <f>'III. Database'!S117</f>
        <v>0</v>
      </c>
      <c r="M117" s="126">
        <f>'III. Database'!V117</f>
        <v>0</v>
      </c>
      <c r="N117" s="126">
        <f>'III. Database'!W117</f>
        <v>0</v>
      </c>
      <c r="O117" s="126">
        <f>'III. Database'!Z117</f>
        <v>0</v>
      </c>
      <c r="P117" s="126">
        <f>'III. Database'!AA117</f>
        <v>0</v>
      </c>
    </row>
    <row r="118" spans="2:16" ht="47.25" customHeight="1" x14ac:dyDescent="0.25">
      <c r="B118" s="115">
        <f>'III. Database'!B118</f>
        <v>0</v>
      </c>
      <c r="C118" s="124">
        <f>'III. Database'!C118</f>
        <v>0</v>
      </c>
      <c r="D118" s="124">
        <f>'III. Database'!D118</f>
        <v>0</v>
      </c>
      <c r="E118" s="124">
        <f>'III. Database'!F118</f>
        <v>0</v>
      </c>
      <c r="F118" s="124">
        <f>'III. Database'!G118</f>
        <v>0</v>
      </c>
      <c r="G118" s="1">
        <f>'III. Database'!K118</f>
        <v>0</v>
      </c>
      <c r="H118" s="125">
        <f>'III. Database'!L118</f>
        <v>0</v>
      </c>
      <c r="I118" s="126">
        <f>'III. Database'!N118</f>
        <v>0</v>
      </c>
      <c r="J118" s="126">
        <f>'III. Database'!O118</f>
        <v>0</v>
      </c>
      <c r="K118" s="126">
        <f>'III. Database'!R118</f>
        <v>0</v>
      </c>
      <c r="L118" s="126">
        <f>'III. Database'!S118</f>
        <v>0</v>
      </c>
      <c r="M118" s="126">
        <f>'III. Database'!V118</f>
        <v>0</v>
      </c>
      <c r="N118" s="126">
        <f>'III. Database'!W118</f>
        <v>0</v>
      </c>
      <c r="O118" s="126">
        <f>'III. Database'!Z118</f>
        <v>0</v>
      </c>
      <c r="P118" s="126">
        <f>'III. Database'!AA118</f>
        <v>0</v>
      </c>
    </row>
    <row r="119" spans="2:16" ht="47.25" customHeight="1" x14ac:dyDescent="0.25">
      <c r="B119" s="115">
        <f>'III. Database'!B119</f>
        <v>0</v>
      </c>
      <c r="C119" s="124">
        <f>'III. Database'!C119</f>
        <v>0</v>
      </c>
      <c r="D119" s="124">
        <f>'III. Database'!D119</f>
        <v>0</v>
      </c>
      <c r="E119" s="124">
        <f>'III. Database'!F119</f>
        <v>0</v>
      </c>
      <c r="F119" s="124">
        <f>'III. Database'!G119</f>
        <v>0</v>
      </c>
      <c r="G119" s="1">
        <f>'III. Database'!K119</f>
        <v>0</v>
      </c>
      <c r="H119" s="125">
        <f>'III. Database'!L119</f>
        <v>0</v>
      </c>
      <c r="I119" s="126">
        <f>'III. Database'!N119</f>
        <v>0</v>
      </c>
      <c r="J119" s="126">
        <f>'III. Database'!O119</f>
        <v>0</v>
      </c>
      <c r="K119" s="126">
        <f>'III. Database'!R119</f>
        <v>0</v>
      </c>
      <c r="L119" s="126">
        <f>'III. Database'!S119</f>
        <v>0</v>
      </c>
      <c r="M119" s="126">
        <f>'III. Database'!V119</f>
        <v>0</v>
      </c>
      <c r="N119" s="126">
        <f>'III. Database'!W119</f>
        <v>0</v>
      </c>
      <c r="O119" s="126">
        <f>'III. Database'!Z119</f>
        <v>0</v>
      </c>
      <c r="P119" s="126">
        <f>'III. Database'!AA119</f>
        <v>0</v>
      </c>
    </row>
    <row r="120" spans="2:16" ht="47.25" customHeight="1" x14ac:dyDescent="0.25">
      <c r="B120" s="115">
        <f>'III. Database'!B120</f>
        <v>0</v>
      </c>
      <c r="C120" s="124">
        <f>'III. Database'!C120</f>
        <v>0</v>
      </c>
      <c r="D120" s="124">
        <f>'III. Database'!D120</f>
        <v>0</v>
      </c>
      <c r="E120" s="124">
        <f>'III. Database'!F120</f>
        <v>0</v>
      </c>
      <c r="F120" s="124">
        <f>'III. Database'!G120</f>
        <v>0</v>
      </c>
      <c r="G120" s="1">
        <f>'III. Database'!K120</f>
        <v>0</v>
      </c>
      <c r="H120" s="125">
        <f>'III. Database'!L120</f>
        <v>0</v>
      </c>
      <c r="I120" s="126">
        <f>'III. Database'!N120</f>
        <v>0</v>
      </c>
      <c r="J120" s="126">
        <f>'III. Database'!O120</f>
        <v>0</v>
      </c>
      <c r="K120" s="126">
        <f>'III. Database'!R120</f>
        <v>0</v>
      </c>
      <c r="L120" s="126">
        <f>'III. Database'!S120</f>
        <v>0</v>
      </c>
      <c r="M120" s="126">
        <f>'III. Database'!V120</f>
        <v>0</v>
      </c>
      <c r="N120" s="126">
        <f>'III. Database'!W120</f>
        <v>0</v>
      </c>
      <c r="O120" s="126">
        <f>'III. Database'!Z120</f>
        <v>0</v>
      </c>
      <c r="P120" s="126">
        <f>'III. Database'!AA120</f>
        <v>0</v>
      </c>
    </row>
    <row r="121" spans="2:16" ht="47.25" customHeight="1" x14ac:dyDescent="0.25">
      <c r="B121" s="115">
        <f>'III. Database'!B121</f>
        <v>0</v>
      </c>
      <c r="C121" s="124">
        <f>'III. Database'!C121</f>
        <v>0</v>
      </c>
      <c r="D121" s="124">
        <f>'III. Database'!D121</f>
        <v>0</v>
      </c>
      <c r="E121" s="124">
        <f>'III. Database'!F121</f>
        <v>0</v>
      </c>
      <c r="F121" s="124">
        <f>'III. Database'!G121</f>
        <v>0</v>
      </c>
      <c r="G121" s="1">
        <f>'III. Database'!K121</f>
        <v>0</v>
      </c>
      <c r="H121" s="125">
        <f>'III. Database'!L121</f>
        <v>0</v>
      </c>
      <c r="I121" s="126">
        <f>'III. Database'!N121</f>
        <v>0</v>
      </c>
      <c r="J121" s="126">
        <f>'III. Database'!O121</f>
        <v>0</v>
      </c>
      <c r="K121" s="126">
        <f>'III. Database'!R121</f>
        <v>0</v>
      </c>
      <c r="L121" s="126">
        <f>'III. Database'!S121</f>
        <v>0</v>
      </c>
      <c r="M121" s="126">
        <f>'III. Database'!V121</f>
        <v>0</v>
      </c>
      <c r="N121" s="126">
        <f>'III. Database'!W121</f>
        <v>0</v>
      </c>
      <c r="O121" s="126">
        <f>'III. Database'!Z121</f>
        <v>0</v>
      </c>
      <c r="P121" s="126">
        <f>'III. Database'!AA121</f>
        <v>0</v>
      </c>
    </row>
    <row r="122" spans="2:16" ht="47.25" customHeight="1" x14ac:dyDescent="0.25">
      <c r="B122" s="115">
        <f>'III. Database'!B122</f>
        <v>0</v>
      </c>
      <c r="C122" s="124">
        <f>'III. Database'!C122</f>
        <v>0</v>
      </c>
      <c r="D122" s="124">
        <f>'III. Database'!D122</f>
        <v>0</v>
      </c>
      <c r="E122" s="124">
        <f>'III. Database'!F122</f>
        <v>0</v>
      </c>
      <c r="F122" s="124">
        <f>'III. Database'!G122</f>
        <v>0</v>
      </c>
      <c r="G122" s="1">
        <f>'III. Database'!K122</f>
        <v>0</v>
      </c>
      <c r="H122" s="125">
        <f>'III. Database'!L122</f>
        <v>0</v>
      </c>
      <c r="I122" s="126">
        <f>'III. Database'!N122</f>
        <v>0</v>
      </c>
      <c r="J122" s="126">
        <f>'III. Database'!O122</f>
        <v>0</v>
      </c>
      <c r="K122" s="126">
        <f>'III. Database'!R122</f>
        <v>0</v>
      </c>
      <c r="L122" s="126">
        <f>'III. Database'!S122</f>
        <v>0</v>
      </c>
      <c r="M122" s="126">
        <f>'III. Database'!V122</f>
        <v>0</v>
      </c>
      <c r="N122" s="126">
        <f>'III. Database'!W122</f>
        <v>0</v>
      </c>
      <c r="O122" s="126">
        <f>'III. Database'!Z122</f>
        <v>0</v>
      </c>
      <c r="P122" s="126">
        <f>'III. Database'!AA122</f>
        <v>0</v>
      </c>
    </row>
    <row r="123" spans="2:16" ht="47.25" customHeight="1" x14ac:dyDescent="0.25">
      <c r="B123" s="115">
        <f>'III. Database'!B123</f>
        <v>0</v>
      </c>
      <c r="C123" s="124">
        <f>'III. Database'!C123</f>
        <v>0</v>
      </c>
      <c r="D123" s="124">
        <f>'III. Database'!D123</f>
        <v>0</v>
      </c>
      <c r="E123" s="124">
        <f>'III. Database'!F123</f>
        <v>0</v>
      </c>
      <c r="F123" s="124">
        <f>'III. Database'!G123</f>
        <v>0</v>
      </c>
      <c r="G123" s="1">
        <f>'III. Database'!K123</f>
        <v>0</v>
      </c>
      <c r="H123" s="125">
        <f>'III. Database'!L123</f>
        <v>0</v>
      </c>
      <c r="I123" s="126">
        <f>'III. Database'!N123</f>
        <v>0</v>
      </c>
      <c r="J123" s="126">
        <f>'III. Database'!O123</f>
        <v>0</v>
      </c>
      <c r="K123" s="126">
        <f>'III. Database'!R123</f>
        <v>0</v>
      </c>
      <c r="L123" s="126">
        <f>'III. Database'!S123</f>
        <v>0</v>
      </c>
      <c r="M123" s="126">
        <f>'III. Database'!V123</f>
        <v>0</v>
      </c>
      <c r="N123" s="126">
        <f>'III. Database'!W123</f>
        <v>0</v>
      </c>
      <c r="O123" s="126">
        <f>'III. Database'!Z123</f>
        <v>0</v>
      </c>
      <c r="P123" s="126">
        <f>'III. Database'!AA123</f>
        <v>0</v>
      </c>
    </row>
    <row r="124" spans="2:16" ht="47.25" customHeight="1" x14ac:dyDescent="0.25">
      <c r="B124" s="115">
        <f>'III. Database'!B124</f>
        <v>0</v>
      </c>
      <c r="C124" s="124">
        <f>'III. Database'!C124</f>
        <v>0</v>
      </c>
      <c r="D124" s="124">
        <f>'III. Database'!D124</f>
        <v>0</v>
      </c>
      <c r="E124" s="124">
        <f>'III. Database'!F124</f>
        <v>0</v>
      </c>
      <c r="F124" s="124">
        <f>'III. Database'!G124</f>
        <v>0</v>
      </c>
      <c r="G124" s="1">
        <f>'III. Database'!K124</f>
        <v>0</v>
      </c>
      <c r="H124" s="125">
        <f>'III. Database'!L124</f>
        <v>0</v>
      </c>
      <c r="I124" s="126">
        <f>'III. Database'!N124</f>
        <v>0</v>
      </c>
      <c r="J124" s="126">
        <f>'III. Database'!O124</f>
        <v>0</v>
      </c>
      <c r="K124" s="126">
        <f>'III. Database'!R124</f>
        <v>0</v>
      </c>
      <c r="L124" s="126">
        <f>'III. Database'!S124</f>
        <v>0</v>
      </c>
      <c r="M124" s="126">
        <f>'III. Database'!V124</f>
        <v>0</v>
      </c>
      <c r="N124" s="126">
        <f>'III. Database'!W124</f>
        <v>0</v>
      </c>
      <c r="O124" s="126">
        <f>'III. Database'!Z124</f>
        <v>0</v>
      </c>
      <c r="P124" s="126">
        <f>'III. Database'!AA124</f>
        <v>0</v>
      </c>
    </row>
    <row r="125" spans="2:16" ht="47.25" customHeight="1" x14ac:dyDescent="0.25">
      <c r="B125" s="115">
        <f>'III. Database'!B125</f>
        <v>0</v>
      </c>
      <c r="C125" s="124">
        <f>'III. Database'!C125</f>
        <v>0</v>
      </c>
      <c r="D125" s="124">
        <f>'III. Database'!D125</f>
        <v>0</v>
      </c>
      <c r="E125" s="124">
        <f>'III. Database'!F125</f>
        <v>0</v>
      </c>
      <c r="F125" s="124">
        <f>'III. Database'!G125</f>
        <v>0</v>
      </c>
      <c r="G125" s="1">
        <f>'III. Database'!K125</f>
        <v>0</v>
      </c>
      <c r="H125" s="125">
        <f>'III. Database'!L125</f>
        <v>0</v>
      </c>
      <c r="I125" s="126">
        <f>'III. Database'!N125</f>
        <v>0</v>
      </c>
      <c r="J125" s="126">
        <f>'III. Database'!O125</f>
        <v>0</v>
      </c>
      <c r="K125" s="126">
        <f>'III. Database'!R125</f>
        <v>0</v>
      </c>
      <c r="L125" s="126">
        <f>'III. Database'!S125</f>
        <v>0</v>
      </c>
      <c r="M125" s="126">
        <f>'III. Database'!V125</f>
        <v>0</v>
      </c>
      <c r="N125" s="126">
        <f>'III. Database'!W125</f>
        <v>0</v>
      </c>
      <c r="O125" s="126">
        <f>'III. Database'!Z125</f>
        <v>0</v>
      </c>
      <c r="P125" s="126">
        <f>'III. Database'!AA125</f>
        <v>0</v>
      </c>
    </row>
    <row r="126" spans="2:16" ht="47.25" customHeight="1" x14ac:dyDescent="0.25">
      <c r="B126" s="115">
        <f>'III. Database'!B126</f>
        <v>0</v>
      </c>
      <c r="C126" s="124">
        <f>'III. Database'!C126</f>
        <v>0</v>
      </c>
      <c r="D126" s="124">
        <f>'III. Database'!D126</f>
        <v>0</v>
      </c>
      <c r="E126" s="124">
        <f>'III. Database'!F126</f>
        <v>0</v>
      </c>
      <c r="F126" s="124">
        <f>'III. Database'!G126</f>
        <v>0</v>
      </c>
      <c r="G126" s="1">
        <f>'III. Database'!K126</f>
        <v>0</v>
      </c>
      <c r="H126" s="125">
        <f>'III. Database'!L126</f>
        <v>0</v>
      </c>
      <c r="I126" s="126">
        <f>'III. Database'!N126</f>
        <v>0</v>
      </c>
      <c r="J126" s="126">
        <f>'III. Database'!O126</f>
        <v>0</v>
      </c>
      <c r="K126" s="126">
        <f>'III. Database'!R126</f>
        <v>0</v>
      </c>
      <c r="L126" s="126">
        <f>'III. Database'!S126</f>
        <v>0</v>
      </c>
      <c r="M126" s="126">
        <f>'III. Database'!V126</f>
        <v>0</v>
      </c>
      <c r="N126" s="126">
        <f>'III. Database'!W126</f>
        <v>0</v>
      </c>
      <c r="O126" s="126">
        <f>'III. Database'!Z126</f>
        <v>0</v>
      </c>
      <c r="P126" s="126">
        <f>'III. Database'!AA126</f>
        <v>0</v>
      </c>
    </row>
    <row r="127" spans="2:16" ht="47.25" customHeight="1" x14ac:dyDescent="0.25">
      <c r="B127" s="115">
        <f>'III. Database'!B127</f>
        <v>0</v>
      </c>
      <c r="C127" s="124">
        <f>'III. Database'!C127</f>
        <v>0</v>
      </c>
      <c r="D127" s="124">
        <f>'III. Database'!D127</f>
        <v>0</v>
      </c>
      <c r="E127" s="124">
        <f>'III. Database'!F127</f>
        <v>0</v>
      </c>
      <c r="F127" s="124">
        <f>'III. Database'!G127</f>
        <v>0</v>
      </c>
      <c r="G127" s="1">
        <f>'III. Database'!K127</f>
        <v>0</v>
      </c>
      <c r="H127" s="125">
        <f>'III. Database'!L127</f>
        <v>0</v>
      </c>
      <c r="I127" s="126">
        <f>'III. Database'!N127</f>
        <v>0</v>
      </c>
      <c r="J127" s="126">
        <f>'III. Database'!O127</f>
        <v>0</v>
      </c>
      <c r="K127" s="126">
        <f>'III. Database'!R127</f>
        <v>0</v>
      </c>
      <c r="L127" s="126">
        <f>'III. Database'!S127</f>
        <v>0</v>
      </c>
      <c r="M127" s="126">
        <f>'III. Database'!V127</f>
        <v>0</v>
      </c>
      <c r="N127" s="126">
        <f>'III. Database'!W127</f>
        <v>0</v>
      </c>
      <c r="O127" s="126">
        <f>'III. Database'!Z127</f>
        <v>0</v>
      </c>
      <c r="P127" s="126">
        <f>'III. Database'!AA127</f>
        <v>0</v>
      </c>
    </row>
    <row r="128" spans="2:16" ht="47.25" customHeight="1" x14ac:dyDescent="0.25">
      <c r="B128" s="115">
        <f>'III. Database'!B128</f>
        <v>0</v>
      </c>
      <c r="C128" s="124">
        <f>'III. Database'!C128</f>
        <v>0</v>
      </c>
      <c r="D128" s="124">
        <f>'III. Database'!D128</f>
        <v>0</v>
      </c>
      <c r="E128" s="124">
        <f>'III. Database'!F128</f>
        <v>0</v>
      </c>
      <c r="F128" s="124">
        <f>'III. Database'!G128</f>
        <v>0</v>
      </c>
      <c r="G128" s="1">
        <f>'III. Database'!K128</f>
        <v>0</v>
      </c>
      <c r="H128" s="125">
        <f>'III. Database'!L128</f>
        <v>0</v>
      </c>
      <c r="I128" s="126">
        <f>'III. Database'!N128</f>
        <v>0</v>
      </c>
      <c r="J128" s="126">
        <f>'III. Database'!O128</f>
        <v>0</v>
      </c>
      <c r="K128" s="126">
        <f>'III. Database'!R128</f>
        <v>0</v>
      </c>
      <c r="L128" s="126">
        <f>'III. Database'!S128</f>
        <v>0</v>
      </c>
      <c r="M128" s="126">
        <f>'III. Database'!V128</f>
        <v>0</v>
      </c>
      <c r="N128" s="126">
        <f>'III. Database'!W128</f>
        <v>0</v>
      </c>
      <c r="O128" s="126">
        <f>'III. Database'!Z128</f>
        <v>0</v>
      </c>
      <c r="P128" s="126">
        <f>'III. Database'!AA128</f>
        <v>0</v>
      </c>
    </row>
    <row r="129" spans="2:16" ht="47.25" customHeight="1" x14ac:dyDescent="0.25">
      <c r="B129" s="115">
        <f>'III. Database'!B129</f>
        <v>0</v>
      </c>
      <c r="C129" s="124">
        <f>'III. Database'!C129</f>
        <v>0</v>
      </c>
      <c r="D129" s="124">
        <f>'III. Database'!D129</f>
        <v>0</v>
      </c>
      <c r="E129" s="124">
        <f>'III. Database'!F129</f>
        <v>0</v>
      </c>
      <c r="F129" s="124">
        <f>'III. Database'!G129</f>
        <v>0</v>
      </c>
      <c r="G129" s="1">
        <f>'III. Database'!K129</f>
        <v>0</v>
      </c>
      <c r="H129" s="125">
        <f>'III. Database'!L129</f>
        <v>0</v>
      </c>
      <c r="I129" s="126">
        <f>'III. Database'!N129</f>
        <v>0</v>
      </c>
      <c r="J129" s="126">
        <f>'III. Database'!O129</f>
        <v>0</v>
      </c>
      <c r="K129" s="126">
        <f>'III. Database'!R129</f>
        <v>0</v>
      </c>
      <c r="L129" s="126">
        <f>'III. Database'!S129</f>
        <v>0</v>
      </c>
      <c r="M129" s="126">
        <f>'III. Database'!V129</f>
        <v>0</v>
      </c>
      <c r="N129" s="126">
        <f>'III. Database'!W129</f>
        <v>0</v>
      </c>
      <c r="O129" s="126">
        <f>'III. Database'!Z129</f>
        <v>0</v>
      </c>
      <c r="P129" s="126">
        <f>'III. Database'!AA129</f>
        <v>0</v>
      </c>
    </row>
    <row r="130" spans="2:16" ht="47.25" customHeight="1" x14ac:dyDescent="0.25">
      <c r="B130" s="115">
        <f>'III. Database'!B130</f>
        <v>0</v>
      </c>
      <c r="C130" s="124">
        <f>'III. Database'!C130</f>
        <v>0</v>
      </c>
      <c r="D130" s="124">
        <f>'III. Database'!D130</f>
        <v>0</v>
      </c>
      <c r="E130" s="124">
        <f>'III. Database'!F130</f>
        <v>0</v>
      </c>
      <c r="F130" s="124">
        <f>'III. Database'!G130</f>
        <v>0</v>
      </c>
      <c r="G130" s="1">
        <f>'III. Database'!K130</f>
        <v>0</v>
      </c>
      <c r="H130" s="125">
        <f>'III. Database'!L130</f>
        <v>0</v>
      </c>
      <c r="I130" s="126">
        <f>'III. Database'!N130</f>
        <v>0</v>
      </c>
      <c r="J130" s="126">
        <f>'III. Database'!O130</f>
        <v>0</v>
      </c>
      <c r="K130" s="126">
        <f>'III. Database'!R130</f>
        <v>0</v>
      </c>
      <c r="L130" s="126">
        <f>'III. Database'!S130</f>
        <v>0</v>
      </c>
      <c r="M130" s="126">
        <f>'III. Database'!V130</f>
        <v>0</v>
      </c>
      <c r="N130" s="126">
        <f>'III. Database'!W130</f>
        <v>0</v>
      </c>
      <c r="O130" s="126">
        <f>'III. Database'!Z130</f>
        <v>0</v>
      </c>
      <c r="P130" s="126">
        <f>'III. Database'!AA130</f>
        <v>0</v>
      </c>
    </row>
    <row r="131" spans="2:16" ht="47.25" customHeight="1" x14ac:dyDescent="0.25">
      <c r="B131" s="115">
        <f>'III. Database'!B131</f>
        <v>0</v>
      </c>
      <c r="C131" s="124">
        <f>'III. Database'!C131</f>
        <v>0</v>
      </c>
      <c r="D131" s="124">
        <f>'III. Database'!D131</f>
        <v>0</v>
      </c>
      <c r="E131" s="124">
        <f>'III. Database'!F131</f>
        <v>0</v>
      </c>
      <c r="F131" s="124">
        <f>'III. Database'!G131</f>
        <v>0</v>
      </c>
      <c r="G131" s="1">
        <f>'III. Database'!K131</f>
        <v>0</v>
      </c>
      <c r="H131" s="125">
        <f>'III. Database'!L131</f>
        <v>0</v>
      </c>
      <c r="I131" s="126">
        <f>'III. Database'!N131</f>
        <v>0</v>
      </c>
      <c r="J131" s="126">
        <f>'III. Database'!O131</f>
        <v>0</v>
      </c>
      <c r="K131" s="126">
        <f>'III. Database'!R131</f>
        <v>0</v>
      </c>
      <c r="L131" s="126">
        <f>'III. Database'!S131</f>
        <v>0</v>
      </c>
      <c r="M131" s="126">
        <f>'III. Database'!V131</f>
        <v>0</v>
      </c>
      <c r="N131" s="126">
        <f>'III. Database'!W131</f>
        <v>0</v>
      </c>
      <c r="O131" s="126">
        <f>'III. Database'!Z131</f>
        <v>0</v>
      </c>
      <c r="P131" s="126">
        <f>'III. Database'!AA131</f>
        <v>0</v>
      </c>
    </row>
    <row r="132" spans="2:16" ht="47.25" customHeight="1" x14ac:dyDescent="0.25">
      <c r="B132" s="115">
        <f>'III. Database'!B132</f>
        <v>0</v>
      </c>
      <c r="C132" s="124">
        <f>'III. Database'!C132</f>
        <v>0</v>
      </c>
      <c r="D132" s="124">
        <f>'III. Database'!D132</f>
        <v>0</v>
      </c>
      <c r="E132" s="124">
        <f>'III. Database'!F132</f>
        <v>0</v>
      </c>
      <c r="F132" s="124">
        <f>'III. Database'!G132</f>
        <v>0</v>
      </c>
      <c r="G132" s="1">
        <f>'III. Database'!K132</f>
        <v>0</v>
      </c>
      <c r="H132" s="125">
        <f>'III. Database'!L132</f>
        <v>0</v>
      </c>
      <c r="I132" s="126">
        <f>'III. Database'!N132</f>
        <v>0</v>
      </c>
      <c r="J132" s="126">
        <f>'III. Database'!O132</f>
        <v>0</v>
      </c>
      <c r="K132" s="126">
        <f>'III. Database'!R132</f>
        <v>0</v>
      </c>
      <c r="L132" s="126">
        <f>'III. Database'!S132</f>
        <v>0</v>
      </c>
      <c r="M132" s="126">
        <f>'III. Database'!V132</f>
        <v>0</v>
      </c>
      <c r="N132" s="126">
        <f>'III. Database'!W132</f>
        <v>0</v>
      </c>
      <c r="O132" s="126">
        <f>'III. Database'!Z132</f>
        <v>0</v>
      </c>
      <c r="P132" s="126">
        <f>'III. Database'!AA132</f>
        <v>0</v>
      </c>
    </row>
    <row r="133" spans="2:16" ht="47.25" customHeight="1" x14ac:dyDescent="0.25">
      <c r="B133" s="115">
        <f>'III. Database'!B133</f>
        <v>0</v>
      </c>
      <c r="C133" s="124">
        <f>'III. Database'!C133</f>
        <v>0</v>
      </c>
      <c r="D133" s="124">
        <f>'III. Database'!D133</f>
        <v>0</v>
      </c>
      <c r="E133" s="124">
        <f>'III. Database'!F133</f>
        <v>0</v>
      </c>
      <c r="F133" s="124">
        <f>'III. Database'!G133</f>
        <v>0</v>
      </c>
      <c r="G133" s="1">
        <f>'III. Database'!K133</f>
        <v>0</v>
      </c>
      <c r="H133" s="125">
        <f>'III. Database'!L133</f>
        <v>0</v>
      </c>
      <c r="I133" s="126">
        <f>'III. Database'!N133</f>
        <v>0</v>
      </c>
      <c r="J133" s="126">
        <f>'III. Database'!O133</f>
        <v>0</v>
      </c>
      <c r="K133" s="126">
        <f>'III. Database'!R133</f>
        <v>0</v>
      </c>
      <c r="L133" s="126">
        <f>'III. Database'!S133</f>
        <v>0</v>
      </c>
      <c r="M133" s="126">
        <f>'III. Database'!V133</f>
        <v>0</v>
      </c>
      <c r="N133" s="126">
        <f>'III. Database'!W133</f>
        <v>0</v>
      </c>
      <c r="O133" s="126">
        <f>'III. Database'!Z133</f>
        <v>0</v>
      </c>
      <c r="P133" s="126">
        <f>'III. Database'!AA133</f>
        <v>0</v>
      </c>
    </row>
    <row r="134" spans="2:16" ht="47.25" customHeight="1" x14ac:dyDescent="0.25">
      <c r="B134" s="115">
        <f>'III. Database'!B134</f>
        <v>0</v>
      </c>
      <c r="C134" s="124">
        <f>'III. Database'!C134</f>
        <v>0</v>
      </c>
      <c r="D134" s="124">
        <f>'III. Database'!D134</f>
        <v>0</v>
      </c>
      <c r="E134" s="124">
        <f>'III. Database'!F134</f>
        <v>0</v>
      </c>
      <c r="F134" s="124">
        <f>'III. Database'!G134</f>
        <v>0</v>
      </c>
      <c r="G134" s="1">
        <f>'III. Database'!K134</f>
        <v>0</v>
      </c>
      <c r="H134" s="125">
        <f>'III. Database'!L134</f>
        <v>0</v>
      </c>
      <c r="I134" s="126">
        <f>'III. Database'!N134</f>
        <v>0</v>
      </c>
      <c r="J134" s="126">
        <f>'III. Database'!O134</f>
        <v>0</v>
      </c>
      <c r="K134" s="126">
        <f>'III. Database'!R134</f>
        <v>0</v>
      </c>
      <c r="L134" s="126">
        <f>'III. Database'!S134</f>
        <v>0</v>
      </c>
      <c r="M134" s="126">
        <f>'III. Database'!V134</f>
        <v>0</v>
      </c>
      <c r="N134" s="126">
        <f>'III. Database'!W134</f>
        <v>0</v>
      </c>
      <c r="O134" s="126">
        <f>'III. Database'!Z134</f>
        <v>0</v>
      </c>
      <c r="P134" s="126">
        <f>'III. Database'!AA134</f>
        <v>0</v>
      </c>
    </row>
    <row r="135" spans="2:16" ht="47.25" customHeight="1" x14ac:dyDescent="0.25">
      <c r="B135" s="115">
        <f>'III. Database'!B135</f>
        <v>0</v>
      </c>
      <c r="C135" s="124">
        <f>'III. Database'!C135</f>
        <v>0</v>
      </c>
      <c r="D135" s="124">
        <f>'III. Database'!D135</f>
        <v>0</v>
      </c>
      <c r="E135" s="124">
        <f>'III. Database'!F135</f>
        <v>0</v>
      </c>
      <c r="F135" s="124">
        <f>'III. Database'!G135</f>
        <v>0</v>
      </c>
      <c r="G135" s="1">
        <f>'III. Database'!K135</f>
        <v>0</v>
      </c>
      <c r="H135" s="125">
        <f>'III. Database'!L135</f>
        <v>0</v>
      </c>
      <c r="I135" s="126">
        <f>'III. Database'!N135</f>
        <v>0</v>
      </c>
      <c r="J135" s="126">
        <f>'III. Database'!O135</f>
        <v>0</v>
      </c>
      <c r="K135" s="126">
        <f>'III. Database'!R135</f>
        <v>0</v>
      </c>
      <c r="L135" s="126">
        <f>'III. Database'!S135</f>
        <v>0</v>
      </c>
      <c r="M135" s="126">
        <f>'III. Database'!V135</f>
        <v>0</v>
      </c>
      <c r="N135" s="126">
        <f>'III. Database'!W135</f>
        <v>0</v>
      </c>
      <c r="O135" s="126">
        <f>'III. Database'!Z135</f>
        <v>0</v>
      </c>
      <c r="P135" s="126">
        <f>'III. Database'!AA135</f>
        <v>0</v>
      </c>
    </row>
    <row r="136" spans="2:16" ht="47.25" customHeight="1" x14ac:dyDescent="0.25">
      <c r="B136" s="115">
        <f>'III. Database'!B136</f>
        <v>0</v>
      </c>
      <c r="C136" s="124">
        <f>'III. Database'!C136</f>
        <v>0</v>
      </c>
      <c r="D136" s="124">
        <f>'III. Database'!D136</f>
        <v>0</v>
      </c>
      <c r="E136" s="124">
        <f>'III. Database'!F136</f>
        <v>0</v>
      </c>
      <c r="F136" s="124">
        <f>'III. Database'!G136</f>
        <v>0</v>
      </c>
      <c r="G136" s="1">
        <f>'III. Database'!K136</f>
        <v>0</v>
      </c>
      <c r="H136" s="125">
        <f>'III. Database'!L136</f>
        <v>0</v>
      </c>
      <c r="I136" s="126">
        <f>'III. Database'!N136</f>
        <v>0</v>
      </c>
      <c r="J136" s="126">
        <f>'III. Database'!O136</f>
        <v>0</v>
      </c>
      <c r="K136" s="126">
        <f>'III. Database'!R136</f>
        <v>0</v>
      </c>
      <c r="L136" s="126">
        <f>'III. Database'!S136</f>
        <v>0</v>
      </c>
      <c r="M136" s="126">
        <f>'III. Database'!V136</f>
        <v>0</v>
      </c>
      <c r="N136" s="126">
        <f>'III. Database'!W136</f>
        <v>0</v>
      </c>
      <c r="O136" s="126">
        <f>'III. Database'!Z136</f>
        <v>0</v>
      </c>
      <c r="P136" s="126">
        <f>'III. Database'!AA136</f>
        <v>0</v>
      </c>
    </row>
    <row r="137" spans="2:16" ht="47.25" customHeight="1" x14ac:dyDescent="0.25">
      <c r="B137" s="115">
        <f>'III. Database'!B137</f>
        <v>0</v>
      </c>
      <c r="C137" s="124">
        <f>'III. Database'!C137</f>
        <v>0</v>
      </c>
      <c r="D137" s="124">
        <f>'III. Database'!D137</f>
        <v>0</v>
      </c>
      <c r="E137" s="124">
        <f>'III. Database'!F137</f>
        <v>0</v>
      </c>
      <c r="F137" s="124">
        <f>'III. Database'!G137</f>
        <v>0</v>
      </c>
      <c r="G137" s="1">
        <f>'III. Database'!K137</f>
        <v>0</v>
      </c>
      <c r="H137" s="125">
        <f>'III. Database'!L137</f>
        <v>0</v>
      </c>
      <c r="I137" s="126">
        <f>'III. Database'!N137</f>
        <v>0</v>
      </c>
      <c r="J137" s="126">
        <f>'III. Database'!O137</f>
        <v>0</v>
      </c>
      <c r="K137" s="126">
        <f>'III. Database'!R137</f>
        <v>0</v>
      </c>
      <c r="L137" s="126">
        <f>'III. Database'!S137</f>
        <v>0</v>
      </c>
      <c r="M137" s="126">
        <f>'III. Database'!V137</f>
        <v>0</v>
      </c>
      <c r="N137" s="126">
        <f>'III. Database'!W137</f>
        <v>0</v>
      </c>
      <c r="O137" s="126">
        <f>'III. Database'!Z137</f>
        <v>0</v>
      </c>
      <c r="P137" s="126">
        <f>'III. Database'!AA137</f>
        <v>0</v>
      </c>
    </row>
    <row r="138" spans="2:16" ht="47.25" customHeight="1" x14ac:dyDescent="0.25">
      <c r="B138" s="115">
        <f>'III. Database'!B138</f>
        <v>0</v>
      </c>
      <c r="C138" s="124">
        <f>'III. Database'!C138</f>
        <v>0</v>
      </c>
      <c r="D138" s="124">
        <f>'III. Database'!D138</f>
        <v>0</v>
      </c>
      <c r="E138" s="124">
        <f>'III. Database'!F138</f>
        <v>0</v>
      </c>
      <c r="F138" s="124">
        <f>'III. Database'!G138</f>
        <v>0</v>
      </c>
      <c r="G138" s="1">
        <f>'III. Database'!K138</f>
        <v>0</v>
      </c>
      <c r="H138" s="125">
        <f>'III. Database'!L138</f>
        <v>0</v>
      </c>
      <c r="I138" s="126">
        <f>'III. Database'!N138</f>
        <v>0</v>
      </c>
      <c r="J138" s="126">
        <f>'III. Database'!O138</f>
        <v>0</v>
      </c>
      <c r="K138" s="126">
        <f>'III. Database'!R138</f>
        <v>0</v>
      </c>
      <c r="L138" s="126">
        <f>'III. Database'!S138</f>
        <v>0</v>
      </c>
      <c r="M138" s="126">
        <f>'III. Database'!V138</f>
        <v>0</v>
      </c>
      <c r="N138" s="126">
        <f>'III. Database'!W138</f>
        <v>0</v>
      </c>
      <c r="O138" s="126">
        <f>'III. Database'!Z138</f>
        <v>0</v>
      </c>
      <c r="P138" s="126">
        <f>'III. Database'!AA138</f>
        <v>0</v>
      </c>
    </row>
    <row r="139" spans="2:16" ht="47.25" customHeight="1" x14ac:dyDescent="0.25">
      <c r="B139" s="115">
        <f>'III. Database'!B139</f>
        <v>0</v>
      </c>
      <c r="C139" s="124">
        <f>'III. Database'!C139</f>
        <v>0</v>
      </c>
      <c r="D139" s="124">
        <f>'III. Database'!D139</f>
        <v>0</v>
      </c>
      <c r="E139" s="124">
        <f>'III. Database'!F139</f>
        <v>0</v>
      </c>
      <c r="F139" s="124">
        <f>'III. Database'!G139</f>
        <v>0</v>
      </c>
      <c r="G139" s="1">
        <f>'III. Database'!K139</f>
        <v>0</v>
      </c>
      <c r="H139" s="125">
        <f>'III. Database'!L139</f>
        <v>0</v>
      </c>
      <c r="I139" s="126">
        <f>'III. Database'!N139</f>
        <v>0</v>
      </c>
      <c r="J139" s="126">
        <f>'III. Database'!O139</f>
        <v>0</v>
      </c>
      <c r="K139" s="126">
        <f>'III. Database'!R139</f>
        <v>0</v>
      </c>
      <c r="L139" s="126">
        <f>'III. Database'!S139</f>
        <v>0</v>
      </c>
      <c r="M139" s="126">
        <f>'III. Database'!V139</f>
        <v>0</v>
      </c>
      <c r="N139" s="126">
        <f>'III. Database'!W139</f>
        <v>0</v>
      </c>
      <c r="O139" s="126">
        <f>'III. Database'!Z139</f>
        <v>0</v>
      </c>
      <c r="P139" s="126">
        <f>'III. Database'!AA139</f>
        <v>0</v>
      </c>
    </row>
    <row r="140" spans="2:16" ht="47.25" customHeight="1" x14ac:dyDescent="0.25">
      <c r="B140" s="115">
        <f>'III. Database'!B140</f>
        <v>0</v>
      </c>
      <c r="C140" s="124">
        <f>'III. Database'!C140</f>
        <v>0</v>
      </c>
      <c r="D140" s="124">
        <f>'III. Database'!D140</f>
        <v>0</v>
      </c>
      <c r="E140" s="124">
        <f>'III. Database'!F140</f>
        <v>0</v>
      </c>
      <c r="F140" s="124">
        <f>'III. Database'!G140</f>
        <v>0</v>
      </c>
      <c r="G140" s="1">
        <f>'III. Database'!K140</f>
        <v>0</v>
      </c>
      <c r="H140" s="125">
        <f>'III. Database'!L140</f>
        <v>0</v>
      </c>
      <c r="I140" s="126">
        <f>'III. Database'!N140</f>
        <v>0</v>
      </c>
      <c r="J140" s="126">
        <f>'III. Database'!O140</f>
        <v>0</v>
      </c>
      <c r="K140" s="126">
        <f>'III. Database'!R140</f>
        <v>0</v>
      </c>
      <c r="L140" s="126">
        <f>'III. Database'!S140</f>
        <v>0</v>
      </c>
      <c r="M140" s="126">
        <f>'III. Database'!V140</f>
        <v>0</v>
      </c>
      <c r="N140" s="126">
        <f>'III. Database'!W140</f>
        <v>0</v>
      </c>
      <c r="O140" s="126">
        <f>'III. Database'!Z140</f>
        <v>0</v>
      </c>
      <c r="P140" s="126">
        <f>'III. Database'!AA140</f>
        <v>0</v>
      </c>
    </row>
    <row r="141" spans="2:16" ht="47.25" customHeight="1" x14ac:dyDescent="0.25">
      <c r="B141" s="115">
        <f>'III. Database'!B141</f>
        <v>0</v>
      </c>
      <c r="C141" s="124">
        <f>'III. Database'!C141</f>
        <v>0</v>
      </c>
      <c r="D141" s="124">
        <f>'III. Database'!D141</f>
        <v>0</v>
      </c>
      <c r="E141" s="124">
        <f>'III. Database'!F141</f>
        <v>0</v>
      </c>
      <c r="F141" s="124">
        <f>'III. Database'!G141</f>
        <v>0</v>
      </c>
      <c r="G141" s="1">
        <f>'III. Database'!K141</f>
        <v>0</v>
      </c>
      <c r="H141" s="125">
        <f>'III. Database'!L141</f>
        <v>0</v>
      </c>
      <c r="I141" s="126">
        <f>'III. Database'!N141</f>
        <v>0</v>
      </c>
      <c r="J141" s="126">
        <f>'III. Database'!O141</f>
        <v>0</v>
      </c>
      <c r="K141" s="126">
        <f>'III. Database'!R141</f>
        <v>0</v>
      </c>
      <c r="L141" s="126">
        <f>'III. Database'!S141</f>
        <v>0</v>
      </c>
      <c r="M141" s="126">
        <f>'III. Database'!V141</f>
        <v>0</v>
      </c>
      <c r="N141" s="126">
        <f>'III. Database'!W141</f>
        <v>0</v>
      </c>
      <c r="O141" s="126">
        <f>'III. Database'!Z141</f>
        <v>0</v>
      </c>
      <c r="P141" s="126">
        <f>'III. Database'!AA141</f>
        <v>0</v>
      </c>
    </row>
    <row r="142" spans="2:16" ht="47.25" customHeight="1" x14ac:dyDescent="0.25">
      <c r="B142" s="115">
        <f>'III. Database'!B142</f>
        <v>0</v>
      </c>
      <c r="C142" s="124">
        <f>'III. Database'!C142</f>
        <v>0</v>
      </c>
      <c r="D142" s="124">
        <f>'III. Database'!D142</f>
        <v>0</v>
      </c>
      <c r="E142" s="124">
        <f>'III. Database'!F142</f>
        <v>0</v>
      </c>
      <c r="F142" s="124">
        <f>'III. Database'!G142</f>
        <v>0</v>
      </c>
      <c r="G142" s="1">
        <f>'III. Database'!K142</f>
        <v>0</v>
      </c>
      <c r="H142" s="125">
        <f>'III. Database'!L142</f>
        <v>0</v>
      </c>
      <c r="I142" s="126">
        <f>'III. Database'!N142</f>
        <v>0</v>
      </c>
      <c r="J142" s="126">
        <f>'III. Database'!O142</f>
        <v>0</v>
      </c>
      <c r="K142" s="126">
        <f>'III. Database'!R142</f>
        <v>0</v>
      </c>
      <c r="L142" s="126">
        <f>'III. Database'!S142</f>
        <v>0</v>
      </c>
      <c r="M142" s="126">
        <f>'III. Database'!V142</f>
        <v>0</v>
      </c>
      <c r="N142" s="126">
        <f>'III. Database'!W142</f>
        <v>0</v>
      </c>
      <c r="O142" s="126">
        <f>'III. Database'!Z142</f>
        <v>0</v>
      </c>
      <c r="P142" s="126">
        <f>'III. Database'!AA142</f>
        <v>0</v>
      </c>
    </row>
    <row r="143" spans="2:16" ht="47.25" customHeight="1" x14ac:dyDescent="0.25">
      <c r="B143" s="115">
        <f>'III. Database'!B143</f>
        <v>0</v>
      </c>
      <c r="C143" s="124">
        <f>'III. Database'!C143</f>
        <v>0</v>
      </c>
      <c r="D143" s="124">
        <f>'III. Database'!D143</f>
        <v>0</v>
      </c>
      <c r="E143" s="124">
        <f>'III. Database'!F143</f>
        <v>0</v>
      </c>
      <c r="F143" s="124">
        <f>'III. Database'!G143</f>
        <v>0</v>
      </c>
      <c r="G143" s="1">
        <f>'III. Database'!K143</f>
        <v>0</v>
      </c>
      <c r="H143" s="125">
        <f>'III. Database'!L143</f>
        <v>0</v>
      </c>
      <c r="I143" s="126">
        <f>'III. Database'!N143</f>
        <v>0</v>
      </c>
      <c r="J143" s="126">
        <f>'III. Database'!O143</f>
        <v>0</v>
      </c>
      <c r="K143" s="126">
        <f>'III. Database'!R143</f>
        <v>0</v>
      </c>
      <c r="L143" s="126">
        <f>'III. Database'!S143</f>
        <v>0</v>
      </c>
      <c r="M143" s="126">
        <f>'III. Database'!V143</f>
        <v>0</v>
      </c>
      <c r="N143" s="126">
        <f>'III. Database'!W143</f>
        <v>0</v>
      </c>
      <c r="O143" s="126">
        <f>'III. Database'!Z143</f>
        <v>0</v>
      </c>
      <c r="P143" s="126">
        <f>'III. Database'!AA143</f>
        <v>0</v>
      </c>
    </row>
    <row r="144" spans="2:16" ht="47.25" customHeight="1" x14ac:dyDescent="0.25">
      <c r="B144" s="115">
        <f>'III. Database'!B144</f>
        <v>0</v>
      </c>
      <c r="C144" s="124">
        <f>'III. Database'!C144</f>
        <v>0</v>
      </c>
      <c r="D144" s="124">
        <f>'III. Database'!D144</f>
        <v>0</v>
      </c>
      <c r="E144" s="124">
        <f>'III. Database'!F144</f>
        <v>0</v>
      </c>
      <c r="F144" s="124">
        <f>'III. Database'!G144</f>
        <v>0</v>
      </c>
      <c r="G144" s="1">
        <f>'III. Database'!K144</f>
        <v>0</v>
      </c>
      <c r="H144" s="125">
        <f>'III. Database'!L144</f>
        <v>0</v>
      </c>
      <c r="I144" s="126">
        <f>'III. Database'!N144</f>
        <v>0</v>
      </c>
      <c r="J144" s="126">
        <f>'III. Database'!O144</f>
        <v>0</v>
      </c>
      <c r="K144" s="126">
        <f>'III. Database'!R144</f>
        <v>0</v>
      </c>
      <c r="L144" s="126">
        <f>'III. Database'!S144</f>
        <v>0</v>
      </c>
      <c r="M144" s="126">
        <f>'III. Database'!V144</f>
        <v>0</v>
      </c>
      <c r="N144" s="126">
        <f>'III. Database'!W144</f>
        <v>0</v>
      </c>
      <c r="O144" s="126">
        <f>'III. Database'!Z144</f>
        <v>0</v>
      </c>
      <c r="P144" s="126">
        <f>'III. Database'!AA144</f>
        <v>0</v>
      </c>
    </row>
    <row r="145" spans="2:16" ht="47.25" customHeight="1" x14ac:dyDescent="0.25">
      <c r="B145" s="115">
        <f>'III. Database'!B145</f>
        <v>0</v>
      </c>
      <c r="C145" s="124">
        <f>'III. Database'!C145</f>
        <v>0</v>
      </c>
      <c r="D145" s="124">
        <f>'III. Database'!D145</f>
        <v>0</v>
      </c>
      <c r="E145" s="124">
        <f>'III. Database'!F145</f>
        <v>0</v>
      </c>
      <c r="F145" s="124">
        <f>'III. Database'!G145</f>
        <v>0</v>
      </c>
      <c r="G145" s="1">
        <f>'III. Database'!K145</f>
        <v>0</v>
      </c>
      <c r="H145" s="125">
        <f>'III. Database'!L145</f>
        <v>0</v>
      </c>
      <c r="I145" s="126">
        <f>'III. Database'!N145</f>
        <v>0</v>
      </c>
      <c r="J145" s="126">
        <f>'III. Database'!O145</f>
        <v>0</v>
      </c>
      <c r="K145" s="126">
        <f>'III. Database'!R145</f>
        <v>0</v>
      </c>
      <c r="L145" s="126">
        <f>'III. Database'!S145</f>
        <v>0</v>
      </c>
      <c r="M145" s="126">
        <f>'III. Database'!V145</f>
        <v>0</v>
      </c>
      <c r="N145" s="126">
        <f>'III. Database'!W145</f>
        <v>0</v>
      </c>
      <c r="O145" s="126">
        <f>'III. Database'!Z145</f>
        <v>0</v>
      </c>
      <c r="P145" s="126">
        <f>'III. Database'!AA145</f>
        <v>0</v>
      </c>
    </row>
    <row r="146" spans="2:16" ht="47.25" customHeight="1" x14ac:dyDescent="0.25">
      <c r="B146" s="115">
        <f>'III. Database'!B146</f>
        <v>0</v>
      </c>
      <c r="C146" s="124">
        <f>'III. Database'!C146</f>
        <v>0</v>
      </c>
      <c r="D146" s="124">
        <f>'III. Database'!D146</f>
        <v>0</v>
      </c>
      <c r="E146" s="124">
        <f>'III. Database'!F146</f>
        <v>0</v>
      </c>
      <c r="F146" s="124">
        <f>'III. Database'!G146</f>
        <v>0</v>
      </c>
      <c r="G146" s="1">
        <f>'III. Database'!K146</f>
        <v>0</v>
      </c>
      <c r="H146" s="125">
        <f>'III. Database'!L146</f>
        <v>0</v>
      </c>
      <c r="I146" s="126">
        <f>'III. Database'!N146</f>
        <v>0</v>
      </c>
      <c r="J146" s="126">
        <f>'III. Database'!O146</f>
        <v>0</v>
      </c>
      <c r="K146" s="126">
        <f>'III. Database'!R146</f>
        <v>0</v>
      </c>
      <c r="L146" s="126">
        <f>'III. Database'!S146</f>
        <v>0</v>
      </c>
      <c r="M146" s="126">
        <f>'III. Database'!V146</f>
        <v>0</v>
      </c>
      <c r="N146" s="126">
        <f>'III. Database'!W146</f>
        <v>0</v>
      </c>
      <c r="O146" s="126">
        <f>'III. Database'!Z146</f>
        <v>0</v>
      </c>
      <c r="P146" s="126">
        <f>'III. Database'!AA146</f>
        <v>0</v>
      </c>
    </row>
    <row r="147" spans="2:16" ht="47.25" customHeight="1" x14ac:dyDescent="0.25">
      <c r="B147" s="115">
        <f>'III. Database'!B147</f>
        <v>0</v>
      </c>
      <c r="C147" s="124">
        <f>'III. Database'!C147</f>
        <v>0</v>
      </c>
      <c r="D147" s="124">
        <f>'III. Database'!D147</f>
        <v>0</v>
      </c>
      <c r="E147" s="124">
        <f>'III. Database'!F147</f>
        <v>0</v>
      </c>
      <c r="F147" s="124">
        <f>'III. Database'!G147</f>
        <v>0</v>
      </c>
      <c r="G147" s="1">
        <f>'III. Database'!K147</f>
        <v>0</v>
      </c>
      <c r="H147" s="125">
        <f>'III. Database'!L147</f>
        <v>0</v>
      </c>
      <c r="I147" s="126">
        <f>'III. Database'!N147</f>
        <v>0</v>
      </c>
      <c r="J147" s="126">
        <f>'III. Database'!O147</f>
        <v>0</v>
      </c>
      <c r="K147" s="126">
        <f>'III. Database'!R147</f>
        <v>0</v>
      </c>
      <c r="L147" s="126">
        <f>'III. Database'!S147</f>
        <v>0</v>
      </c>
      <c r="M147" s="126">
        <f>'III. Database'!V147</f>
        <v>0</v>
      </c>
      <c r="N147" s="126">
        <f>'III. Database'!W147</f>
        <v>0</v>
      </c>
      <c r="O147" s="126">
        <f>'III. Database'!Z147</f>
        <v>0</v>
      </c>
      <c r="P147" s="126">
        <f>'III. Database'!AA147</f>
        <v>0</v>
      </c>
    </row>
    <row r="148" spans="2:16" ht="47.25" customHeight="1" x14ac:dyDescent="0.25">
      <c r="B148" s="115">
        <f>'III. Database'!B148</f>
        <v>0</v>
      </c>
      <c r="C148" s="124">
        <f>'III. Database'!C148</f>
        <v>0</v>
      </c>
      <c r="D148" s="124">
        <f>'III. Database'!D148</f>
        <v>0</v>
      </c>
      <c r="E148" s="124">
        <f>'III. Database'!F148</f>
        <v>0</v>
      </c>
      <c r="F148" s="124">
        <f>'III. Database'!G148</f>
        <v>0</v>
      </c>
      <c r="G148" s="1">
        <f>'III. Database'!K148</f>
        <v>0</v>
      </c>
      <c r="H148" s="125">
        <f>'III. Database'!L148</f>
        <v>0</v>
      </c>
      <c r="I148" s="126">
        <f>'III. Database'!N148</f>
        <v>0</v>
      </c>
      <c r="J148" s="126">
        <f>'III. Database'!O148</f>
        <v>0</v>
      </c>
      <c r="K148" s="126">
        <f>'III. Database'!R148</f>
        <v>0</v>
      </c>
      <c r="L148" s="126">
        <f>'III. Database'!S148</f>
        <v>0</v>
      </c>
      <c r="M148" s="126">
        <f>'III. Database'!V148</f>
        <v>0</v>
      </c>
      <c r="N148" s="126">
        <f>'III. Database'!W148</f>
        <v>0</v>
      </c>
      <c r="O148" s="126">
        <f>'III. Database'!Z148</f>
        <v>0</v>
      </c>
      <c r="P148" s="126">
        <f>'III. Database'!AA148</f>
        <v>0</v>
      </c>
    </row>
    <row r="149" spans="2:16" ht="47.25" customHeight="1" x14ac:dyDescent="0.25">
      <c r="B149" s="115">
        <f>'III. Database'!B149</f>
        <v>0</v>
      </c>
      <c r="C149" s="124">
        <f>'III. Database'!C149</f>
        <v>0</v>
      </c>
      <c r="D149" s="124">
        <f>'III. Database'!D149</f>
        <v>0</v>
      </c>
      <c r="E149" s="124">
        <f>'III. Database'!F149</f>
        <v>0</v>
      </c>
      <c r="F149" s="124">
        <f>'III. Database'!G149</f>
        <v>0</v>
      </c>
      <c r="G149" s="1">
        <f>'III. Database'!K149</f>
        <v>0</v>
      </c>
      <c r="H149" s="125">
        <f>'III. Database'!L149</f>
        <v>0</v>
      </c>
      <c r="I149" s="126">
        <f>'III. Database'!N149</f>
        <v>0</v>
      </c>
      <c r="J149" s="126">
        <f>'III. Database'!O149</f>
        <v>0</v>
      </c>
      <c r="K149" s="126">
        <f>'III. Database'!R149</f>
        <v>0</v>
      </c>
      <c r="L149" s="126">
        <f>'III. Database'!S149</f>
        <v>0</v>
      </c>
      <c r="M149" s="126">
        <f>'III. Database'!V149</f>
        <v>0</v>
      </c>
      <c r="N149" s="126">
        <f>'III. Database'!W149</f>
        <v>0</v>
      </c>
      <c r="O149" s="126">
        <f>'III. Database'!Z149</f>
        <v>0</v>
      </c>
      <c r="P149" s="126">
        <f>'III. Database'!AA149</f>
        <v>0</v>
      </c>
    </row>
    <row r="150" spans="2:16" ht="47.25" customHeight="1" x14ac:dyDescent="0.25">
      <c r="B150" s="115">
        <f>'III. Database'!B150</f>
        <v>0</v>
      </c>
      <c r="C150" s="124">
        <f>'III. Database'!C150</f>
        <v>0</v>
      </c>
      <c r="D150" s="124">
        <f>'III. Database'!D150</f>
        <v>0</v>
      </c>
      <c r="E150" s="124">
        <f>'III. Database'!F150</f>
        <v>0</v>
      </c>
      <c r="F150" s="124">
        <f>'III. Database'!G150</f>
        <v>0</v>
      </c>
      <c r="G150" s="1">
        <f>'III. Database'!K150</f>
        <v>0</v>
      </c>
      <c r="H150" s="125">
        <f>'III. Database'!L150</f>
        <v>0</v>
      </c>
      <c r="I150" s="126">
        <f>'III. Database'!N150</f>
        <v>0</v>
      </c>
      <c r="J150" s="126">
        <f>'III. Database'!O150</f>
        <v>0</v>
      </c>
      <c r="K150" s="126">
        <f>'III. Database'!R150</f>
        <v>0</v>
      </c>
      <c r="L150" s="126">
        <f>'III. Database'!S150</f>
        <v>0</v>
      </c>
      <c r="M150" s="126">
        <f>'III. Database'!V150</f>
        <v>0</v>
      </c>
      <c r="N150" s="126">
        <f>'III. Database'!W150</f>
        <v>0</v>
      </c>
      <c r="O150" s="126">
        <f>'III. Database'!Z150</f>
        <v>0</v>
      </c>
      <c r="P150" s="126">
        <f>'III. Database'!AA150</f>
        <v>0</v>
      </c>
    </row>
    <row r="151" spans="2:16" ht="47.25" customHeight="1" x14ac:dyDescent="0.25">
      <c r="B151" s="115">
        <f>'III. Database'!B151</f>
        <v>0</v>
      </c>
      <c r="C151" s="124">
        <f>'III. Database'!C151</f>
        <v>0</v>
      </c>
      <c r="D151" s="124">
        <f>'III. Database'!D151</f>
        <v>0</v>
      </c>
      <c r="E151" s="124">
        <f>'III. Database'!F151</f>
        <v>0</v>
      </c>
      <c r="F151" s="124">
        <f>'III. Database'!G151</f>
        <v>0</v>
      </c>
      <c r="G151" s="1">
        <f>'III. Database'!K151</f>
        <v>0</v>
      </c>
      <c r="H151" s="125">
        <f>'III. Database'!L151</f>
        <v>0</v>
      </c>
      <c r="I151" s="126">
        <f>'III. Database'!N151</f>
        <v>0</v>
      </c>
      <c r="J151" s="126">
        <f>'III. Database'!O151</f>
        <v>0</v>
      </c>
      <c r="K151" s="126">
        <f>'III. Database'!R151</f>
        <v>0</v>
      </c>
      <c r="L151" s="126">
        <f>'III. Database'!S151</f>
        <v>0</v>
      </c>
      <c r="M151" s="126">
        <f>'III. Database'!V151</f>
        <v>0</v>
      </c>
      <c r="N151" s="126">
        <f>'III. Database'!W151</f>
        <v>0</v>
      </c>
      <c r="O151" s="126">
        <f>'III. Database'!Z151</f>
        <v>0</v>
      </c>
      <c r="P151" s="126">
        <f>'III. Database'!AA151</f>
        <v>0</v>
      </c>
    </row>
    <row r="152" spans="2:16" ht="47.25" customHeight="1" x14ac:dyDescent="0.25">
      <c r="B152" s="115">
        <f>'III. Database'!B152</f>
        <v>0</v>
      </c>
      <c r="C152" s="124">
        <f>'III. Database'!C152</f>
        <v>0</v>
      </c>
      <c r="D152" s="124">
        <f>'III. Database'!D152</f>
        <v>0</v>
      </c>
      <c r="E152" s="124">
        <f>'III. Database'!F152</f>
        <v>0</v>
      </c>
      <c r="F152" s="124">
        <f>'III. Database'!G152</f>
        <v>0</v>
      </c>
      <c r="G152" s="1">
        <f>'III. Database'!K152</f>
        <v>0</v>
      </c>
      <c r="H152" s="125">
        <f>'III. Database'!L152</f>
        <v>0</v>
      </c>
      <c r="I152" s="126">
        <f>'III. Database'!N152</f>
        <v>0</v>
      </c>
      <c r="J152" s="126">
        <f>'III. Database'!O152</f>
        <v>0</v>
      </c>
      <c r="K152" s="126">
        <f>'III. Database'!R152</f>
        <v>0</v>
      </c>
      <c r="L152" s="126">
        <f>'III. Database'!S152</f>
        <v>0</v>
      </c>
      <c r="M152" s="126">
        <f>'III. Database'!V152</f>
        <v>0</v>
      </c>
      <c r="N152" s="126">
        <f>'III. Database'!W152</f>
        <v>0</v>
      </c>
      <c r="O152" s="126">
        <f>'III. Database'!Z152</f>
        <v>0</v>
      </c>
      <c r="P152" s="126">
        <f>'III. Database'!AA152</f>
        <v>0</v>
      </c>
    </row>
    <row r="153" spans="2:16" ht="47.25" customHeight="1" x14ac:dyDescent="0.25">
      <c r="B153" s="115">
        <f>'III. Database'!B153</f>
        <v>0</v>
      </c>
      <c r="C153" s="124">
        <f>'III. Database'!C153</f>
        <v>0</v>
      </c>
      <c r="D153" s="124">
        <f>'III. Database'!D153</f>
        <v>0</v>
      </c>
      <c r="E153" s="124">
        <f>'III. Database'!F153</f>
        <v>0</v>
      </c>
      <c r="F153" s="124">
        <f>'III. Database'!G153</f>
        <v>0</v>
      </c>
      <c r="G153" s="1">
        <f>'III. Database'!K153</f>
        <v>0</v>
      </c>
      <c r="H153" s="125">
        <f>'III. Database'!L153</f>
        <v>0</v>
      </c>
      <c r="I153" s="126">
        <f>'III. Database'!N153</f>
        <v>0</v>
      </c>
      <c r="J153" s="126">
        <f>'III. Database'!O153</f>
        <v>0</v>
      </c>
      <c r="K153" s="126">
        <f>'III. Database'!R153</f>
        <v>0</v>
      </c>
      <c r="L153" s="126">
        <f>'III. Database'!S153</f>
        <v>0</v>
      </c>
      <c r="M153" s="126">
        <f>'III. Database'!V153</f>
        <v>0</v>
      </c>
      <c r="N153" s="126">
        <f>'III. Database'!W153</f>
        <v>0</v>
      </c>
      <c r="O153" s="126">
        <f>'III. Database'!Z153</f>
        <v>0</v>
      </c>
      <c r="P153" s="126">
        <f>'III. Database'!AA153</f>
        <v>0</v>
      </c>
    </row>
    <row r="154" spans="2:16" ht="47.25" customHeight="1" x14ac:dyDescent="0.25">
      <c r="B154" s="115">
        <f>'III. Database'!B154</f>
        <v>0</v>
      </c>
      <c r="C154" s="124">
        <f>'III. Database'!C154</f>
        <v>0</v>
      </c>
      <c r="D154" s="124">
        <f>'III. Database'!D154</f>
        <v>0</v>
      </c>
      <c r="E154" s="124">
        <f>'III. Database'!F154</f>
        <v>0</v>
      </c>
      <c r="F154" s="124">
        <f>'III. Database'!G154</f>
        <v>0</v>
      </c>
      <c r="G154" s="1">
        <f>'III. Database'!K154</f>
        <v>0</v>
      </c>
      <c r="H154" s="125">
        <f>'III. Database'!L154</f>
        <v>0</v>
      </c>
      <c r="I154" s="126">
        <f>'III. Database'!N154</f>
        <v>0</v>
      </c>
      <c r="J154" s="126">
        <f>'III. Database'!O154</f>
        <v>0</v>
      </c>
      <c r="K154" s="126">
        <f>'III. Database'!R154</f>
        <v>0</v>
      </c>
      <c r="L154" s="126">
        <f>'III. Database'!S154</f>
        <v>0</v>
      </c>
      <c r="M154" s="126">
        <f>'III. Database'!V154</f>
        <v>0</v>
      </c>
      <c r="N154" s="126">
        <f>'III. Database'!W154</f>
        <v>0</v>
      </c>
      <c r="O154" s="126">
        <f>'III. Database'!Z154</f>
        <v>0</v>
      </c>
      <c r="P154" s="126">
        <f>'III. Database'!AA154</f>
        <v>0</v>
      </c>
    </row>
    <row r="155" spans="2:16" ht="47.25" customHeight="1" x14ac:dyDescent="0.25">
      <c r="B155" s="115">
        <f>'III. Database'!B155</f>
        <v>0</v>
      </c>
      <c r="C155" s="124">
        <f>'III. Database'!C155</f>
        <v>0</v>
      </c>
      <c r="D155" s="124">
        <f>'III. Database'!D155</f>
        <v>0</v>
      </c>
      <c r="E155" s="124">
        <f>'III. Database'!F155</f>
        <v>0</v>
      </c>
      <c r="F155" s="124">
        <f>'III. Database'!G155</f>
        <v>0</v>
      </c>
      <c r="G155" s="1">
        <f>'III. Database'!K155</f>
        <v>0</v>
      </c>
      <c r="H155" s="125">
        <f>'III. Database'!L155</f>
        <v>0</v>
      </c>
      <c r="I155" s="126">
        <f>'III. Database'!N155</f>
        <v>0</v>
      </c>
      <c r="J155" s="126">
        <f>'III. Database'!O155</f>
        <v>0</v>
      </c>
      <c r="K155" s="126">
        <f>'III. Database'!R155</f>
        <v>0</v>
      </c>
      <c r="L155" s="126">
        <f>'III. Database'!S155</f>
        <v>0</v>
      </c>
      <c r="M155" s="126">
        <f>'III. Database'!V155</f>
        <v>0</v>
      </c>
      <c r="N155" s="126">
        <f>'III. Database'!W155</f>
        <v>0</v>
      </c>
      <c r="O155" s="126">
        <f>'III. Database'!Z155</f>
        <v>0</v>
      </c>
      <c r="P155" s="126">
        <f>'III. Database'!AA155</f>
        <v>0</v>
      </c>
    </row>
    <row r="156" spans="2:16" ht="47.25" customHeight="1" x14ac:dyDescent="0.25">
      <c r="B156" s="115">
        <f>'III. Database'!B156</f>
        <v>0</v>
      </c>
      <c r="C156" s="124">
        <f>'III. Database'!C156</f>
        <v>0</v>
      </c>
      <c r="D156" s="124">
        <f>'III. Database'!D156</f>
        <v>0</v>
      </c>
      <c r="E156" s="124">
        <f>'III. Database'!F156</f>
        <v>0</v>
      </c>
      <c r="F156" s="124">
        <f>'III. Database'!G156</f>
        <v>0</v>
      </c>
      <c r="G156" s="1">
        <f>'III. Database'!K156</f>
        <v>0</v>
      </c>
      <c r="H156" s="125">
        <f>'III. Database'!L156</f>
        <v>0</v>
      </c>
      <c r="I156" s="126">
        <f>'III. Database'!N156</f>
        <v>0</v>
      </c>
      <c r="J156" s="126">
        <f>'III. Database'!O156</f>
        <v>0</v>
      </c>
      <c r="K156" s="126">
        <f>'III. Database'!R156</f>
        <v>0</v>
      </c>
      <c r="L156" s="126">
        <f>'III. Database'!S156</f>
        <v>0</v>
      </c>
      <c r="M156" s="126">
        <f>'III. Database'!V156</f>
        <v>0</v>
      </c>
      <c r="N156" s="126">
        <f>'III. Database'!W156</f>
        <v>0</v>
      </c>
      <c r="O156" s="126">
        <f>'III. Database'!Z156</f>
        <v>0</v>
      </c>
      <c r="P156" s="126">
        <f>'III. Database'!AA156</f>
        <v>0</v>
      </c>
    </row>
    <row r="157" spans="2:16" ht="47.25" customHeight="1" x14ac:dyDescent="0.25">
      <c r="B157" s="115">
        <f>'III. Database'!B157</f>
        <v>0</v>
      </c>
      <c r="C157" s="124">
        <f>'III. Database'!C157</f>
        <v>0</v>
      </c>
      <c r="D157" s="124">
        <f>'III. Database'!D157</f>
        <v>0</v>
      </c>
      <c r="E157" s="124">
        <f>'III. Database'!F157</f>
        <v>0</v>
      </c>
      <c r="F157" s="124">
        <f>'III. Database'!G157</f>
        <v>0</v>
      </c>
      <c r="G157" s="1">
        <f>'III. Database'!K157</f>
        <v>0</v>
      </c>
      <c r="H157" s="125">
        <f>'III. Database'!L157</f>
        <v>0</v>
      </c>
      <c r="I157" s="126">
        <f>'III. Database'!N157</f>
        <v>0</v>
      </c>
      <c r="J157" s="126">
        <f>'III. Database'!O157</f>
        <v>0</v>
      </c>
      <c r="K157" s="126">
        <f>'III. Database'!R157</f>
        <v>0</v>
      </c>
      <c r="L157" s="126">
        <f>'III. Database'!S157</f>
        <v>0</v>
      </c>
      <c r="M157" s="126">
        <f>'III. Database'!V157</f>
        <v>0</v>
      </c>
      <c r="N157" s="126">
        <f>'III. Database'!W157</f>
        <v>0</v>
      </c>
      <c r="O157" s="126">
        <f>'III. Database'!Z157</f>
        <v>0</v>
      </c>
      <c r="P157" s="126">
        <f>'III. Database'!AA157</f>
        <v>0</v>
      </c>
    </row>
    <row r="158" spans="2:16" ht="47.25" customHeight="1" x14ac:dyDescent="0.25">
      <c r="B158" s="115">
        <f>'III. Database'!B158</f>
        <v>0</v>
      </c>
      <c r="C158" s="124">
        <f>'III. Database'!C158</f>
        <v>0</v>
      </c>
      <c r="D158" s="124">
        <f>'III. Database'!D158</f>
        <v>0</v>
      </c>
      <c r="E158" s="124">
        <f>'III. Database'!F158</f>
        <v>0</v>
      </c>
      <c r="F158" s="124">
        <f>'III. Database'!G158</f>
        <v>0</v>
      </c>
      <c r="G158" s="1">
        <f>'III. Database'!K158</f>
        <v>0</v>
      </c>
      <c r="H158" s="125">
        <f>'III. Database'!L158</f>
        <v>0</v>
      </c>
      <c r="I158" s="126">
        <f>'III. Database'!N158</f>
        <v>0</v>
      </c>
      <c r="J158" s="126">
        <f>'III. Database'!O158</f>
        <v>0</v>
      </c>
      <c r="K158" s="126">
        <f>'III. Database'!R158</f>
        <v>0</v>
      </c>
      <c r="L158" s="126">
        <f>'III. Database'!S158</f>
        <v>0</v>
      </c>
      <c r="M158" s="126">
        <f>'III. Database'!V158</f>
        <v>0</v>
      </c>
      <c r="N158" s="126">
        <f>'III. Database'!W158</f>
        <v>0</v>
      </c>
      <c r="O158" s="126">
        <f>'III. Database'!Z158</f>
        <v>0</v>
      </c>
      <c r="P158" s="126">
        <f>'III. Database'!AA158</f>
        <v>0</v>
      </c>
    </row>
    <row r="159" spans="2:16" ht="47.25" customHeight="1" x14ac:dyDescent="0.25">
      <c r="B159" s="115">
        <f>'III. Database'!B159</f>
        <v>0</v>
      </c>
      <c r="C159" s="124">
        <f>'III. Database'!C159</f>
        <v>0</v>
      </c>
      <c r="D159" s="124">
        <f>'III. Database'!D159</f>
        <v>0</v>
      </c>
      <c r="E159" s="124">
        <f>'III. Database'!F159</f>
        <v>0</v>
      </c>
      <c r="F159" s="124">
        <f>'III. Database'!G159</f>
        <v>0</v>
      </c>
      <c r="G159" s="1">
        <f>'III. Database'!K159</f>
        <v>0</v>
      </c>
      <c r="H159" s="125">
        <f>'III. Database'!L159</f>
        <v>0</v>
      </c>
      <c r="I159" s="126">
        <f>'III. Database'!N159</f>
        <v>0</v>
      </c>
      <c r="J159" s="126">
        <f>'III. Database'!O159</f>
        <v>0</v>
      </c>
      <c r="K159" s="126">
        <f>'III. Database'!R159</f>
        <v>0</v>
      </c>
      <c r="L159" s="126">
        <f>'III. Database'!S159</f>
        <v>0</v>
      </c>
      <c r="M159" s="126">
        <f>'III. Database'!V159</f>
        <v>0</v>
      </c>
      <c r="N159" s="126">
        <f>'III. Database'!W159</f>
        <v>0</v>
      </c>
      <c r="O159" s="126">
        <f>'III. Database'!Z159</f>
        <v>0</v>
      </c>
      <c r="P159" s="126">
        <f>'III. Database'!AA159</f>
        <v>0</v>
      </c>
    </row>
    <row r="160" spans="2:16" ht="47.25" customHeight="1" x14ac:dyDescent="0.25">
      <c r="B160" s="115">
        <f>'III. Database'!B160</f>
        <v>0</v>
      </c>
      <c r="C160" s="124">
        <f>'III. Database'!C160</f>
        <v>0</v>
      </c>
      <c r="D160" s="124">
        <f>'III. Database'!D160</f>
        <v>0</v>
      </c>
      <c r="E160" s="124">
        <f>'III. Database'!F160</f>
        <v>0</v>
      </c>
      <c r="F160" s="124">
        <f>'III. Database'!G160</f>
        <v>0</v>
      </c>
      <c r="G160" s="1">
        <f>'III. Database'!K160</f>
        <v>0</v>
      </c>
      <c r="H160" s="125">
        <f>'III. Database'!L160</f>
        <v>0</v>
      </c>
      <c r="I160" s="126">
        <f>'III. Database'!N160</f>
        <v>0</v>
      </c>
      <c r="J160" s="126">
        <f>'III. Database'!O160</f>
        <v>0</v>
      </c>
      <c r="K160" s="126">
        <f>'III. Database'!R160</f>
        <v>0</v>
      </c>
      <c r="L160" s="126">
        <f>'III. Database'!S160</f>
        <v>0</v>
      </c>
      <c r="M160" s="126">
        <f>'III. Database'!V160</f>
        <v>0</v>
      </c>
      <c r="N160" s="126">
        <f>'III. Database'!W160</f>
        <v>0</v>
      </c>
      <c r="O160" s="126">
        <f>'III. Database'!Z160</f>
        <v>0</v>
      </c>
      <c r="P160" s="126">
        <f>'III. Database'!AA160</f>
        <v>0</v>
      </c>
    </row>
    <row r="161" spans="2:16" ht="47.25" customHeight="1" x14ac:dyDescent="0.25">
      <c r="B161" s="115">
        <f>'III. Database'!B161</f>
        <v>0</v>
      </c>
      <c r="C161" s="124">
        <f>'III. Database'!C161</f>
        <v>0</v>
      </c>
      <c r="D161" s="124">
        <f>'III. Database'!D161</f>
        <v>0</v>
      </c>
      <c r="E161" s="124">
        <f>'III. Database'!F161</f>
        <v>0</v>
      </c>
      <c r="F161" s="124">
        <f>'III. Database'!G161</f>
        <v>0</v>
      </c>
      <c r="G161" s="1">
        <f>'III. Database'!K161</f>
        <v>0</v>
      </c>
      <c r="H161" s="125">
        <f>'III. Database'!L161</f>
        <v>0</v>
      </c>
      <c r="I161" s="126">
        <f>'III. Database'!N161</f>
        <v>0</v>
      </c>
      <c r="J161" s="126">
        <f>'III. Database'!O161</f>
        <v>0</v>
      </c>
      <c r="K161" s="126">
        <f>'III. Database'!R161</f>
        <v>0</v>
      </c>
      <c r="L161" s="126">
        <f>'III. Database'!S161</f>
        <v>0</v>
      </c>
      <c r="M161" s="126">
        <f>'III. Database'!V161</f>
        <v>0</v>
      </c>
      <c r="N161" s="126">
        <f>'III. Database'!W161</f>
        <v>0</v>
      </c>
      <c r="O161" s="126">
        <f>'III. Database'!Z161</f>
        <v>0</v>
      </c>
      <c r="P161" s="126">
        <f>'III. Database'!AA161</f>
        <v>0</v>
      </c>
    </row>
    <row r="162" spans="2:16" ht="47.25" customHeight="1" x14ac:dyDescent="0.25">
      <c r="B162" s="115">
        <f>'III. Database'!B162</f>
        <v>0</v>
      </c>
      <c r="C162" s="124">
        <f>'III. Database'!C162</f>
        <v>0</v>
      </c>
      <c r="D162" s="124">
        <f>'III. Database'!D162</f>
        <v>0</v>
      </c>
      <c r="E162" s="124">
        <f>'III. Database'!F162</f>
        <v>0</v>
      </c>
      <c r="F162" s="124">
        <f>'III. Database'!G162</f>
        <v>0</v>
      </c>
      <c r="G162" s="1">
        <f>'III. Database'!K162</f>
        <v>0</v>
      </c>
      <c r="H162" s="125">
        <f>'III. Database'!L162</f>
        <v>0</v>
      </c>
      <c r="I162" s="126">
        <f>'III. Database'!N162</f>
        <v>0</v>
      </c>
      <c r="J162" s="126">
        <f>'III. Database'!O162</f>
        <v>0</v>
      </c>
      <c r="K162" s="126">
        <f>'III. Database'!R162</f>
        <v>0</v>
      </c>
      <c r="L162" s="126">
        <f>'III. Database'!S162</f>
        <v>0</v>
      </c>
      <c r="M162" s="126">
        <f>'III. Database'!V162</f>
        <v>0</v>
      </c>
      <c r="N162" s="126">
        <f>'III. Database'!W162</f>
        <v>0</v>
      </c>
      <c r="O162" s="126">
        <f>'III. Database'!Z162</f>
        <v>0</v>
      </c>
      <c r="P162" s="126">
        <f>'III. Database'!AA162</f>
        <v>0</v>
      </c>
    </row>
    <row r="163" spans="2:16" ht="47.25" customHeight="1" x14ac:dyDescent="0.25">
      <c r="B163" s="115">
        <f>'III. Database'!B163</f>
        <v>0</v>
      </c>
      <c r="C163" s="124">
        <f>'III. Database'!C163</f>
        <v>0</v>
      </c>
      <c r="D163" s="124">
        <f>'III. Database'!D163</f>
        <v>0</v>
      </c>
      <c r="E163" s="124">
        <f>'III. Database'!F163</f>
        <v>0</v>
      </c>
      <c r="F163" s="124">
        <f>'III. Database'!G163</f>
        <v>0</v>
      </c>
      <c r="G163" s="1">
        <f>'III. Database'!K163</f>
        <v>0</v>
      </c>
      <c r="H163" s="125">
        <f>'III. Database'!L163</f>
        <v>0</v>
      </c>
      <c r="I163" s="126">
        <f>'III. Database'!N163</f>
        <v>0</v>
      </c>
      <c r="J163" s="126">
        <f>'III. Database'!O163</f>
        <v>0</v>
      </c>
      <c r="K163" s="126">
        <f>'III. Database'!R163</f>
        <v>0</v>
      </c>
      <c r="L163" s="126">
        <f>'III. Database'!S163</f>
        <v>0</v>
      </c>
      <c r="M163" s="126">
        <f>'III. Database'!V163</f>
        <v>0</v>
      </c>
      <c r="N163" s="126">
        <f>'III. Database'!W163</f>
        <v>0</v>
      </c>
      <c r="O163" s="126">
        <f>'III. Database'!Z163</f>
        <v>0</v>
      </c>
      <c r="P163" s="126">
        <f>'III. Database'!AA163</f>
        <v>0</v>
      </c>
    </row>
    <row r="164" spans="2:16" ht="47.25" customHeight="1" x14ac:dyDescent="0.25">
      <c r="B164" s="115">
        <f>'III. Database'!B164</f>
        <v>0</v>
      </c>
      <c r="C164" s="124">
        <f>'III. Database'!C164</f>
        <v>0</v>
      </c>
      <c r="D164" s="124">
        <f>'III. Database'!D164</f>
        <v>0</v>
      </c>
      <c r="E164" s="124">
        <f>'III. Database'!F164</f>
        <v>0</v>
      </c>
      <c r="F164" s="124">
        <f>'III. Database'!G164</f>
        <v>0</v>
      </c>
      <c r="G164" s="1">
        <f>'III. Database'!K164</f>
        <v>0</v>
      </c>
      <c r="H164" s="125">
        <f>'III. Database'!L164</f>
        <v>0</v>
      </c>
      <c r="I164" s="126">
        <f>'III. Database'!N164</f>
        <v>0</v>
      </c>
      <c r="J164" s="126">
        <f>'III. Database'!O164</f>
        <v>0</v>
      </c>
      <c r="K164" s="126">
        <f>'III. Database'!R164</f>
        <v>0</v>
      </c>
      <c r="L164" s="126">
        <f>'III. Database'!S164</f>
        <v>0</v>
      </c>
      <c r="M164" s="126">
        <f>'III. Database'!V164</f>
        <v>0</v>
      </c>
      <c r="N164" s="126">
        <f>'III. Database'!W164</f>
        <v>0</v>
      </c>
      <c r="O164" s="126">
        <f>'III. Database'!Z164</f>
        <v>0</v>
      </c>
      <c r="P164" s="126">
        <f>'III. Database'!AA164</f>
        <v>0</v>
      </c>
    </row>
    <row r="165" spans="2:16" ht="47.25" customHeight="1" x14ac:dyDescent="0.25">
      <c r="B165" s="115">
        <f>'III. Database'!B165</f>
        <v>0</v>
      </c>
      <c r="C165" s="124">
        <f>'III. Database'!C165</f>
        <v>0</v>
      </c>
      <c r="D165" s="124">
        <f>'III. Database'!D165</f>
        <v>0</v>
      </c>
      <c r="E165" s="124">
        <f>'III. Database'!F165</f>
        <v>0</v>
      </c>
      <c r="F165" s="124">
        <f>'III. Database'!G165</f>
        <v>0</v>
      </c>
      <c r="G165" s="1">
        <f>'III. Database'!K165</f>
        <v>0</v>
      </c>
      <c r="H165" s="125">
        <f>'III. Database'!L165</f>
        <v>0</v>
      </c>
      <c r="I165" s="126">
        <f>'III. Database'!N165</f>
        <v>0</v>
      </c>
      <c r="J165" s="126">
        <f>'III. Database'!O165</f>
        <v>0</v>
      </c>
      <c r="K165" s="126">
        <f>'III. Database'!R165</f>
        <v>0</v>
      </c>
      <c r="L165" s="126">
        <f>'III. Database'!S165</f>
        <v>0</v>
      </c>
      <c r="M165" s="126">
        <f>'III. Database'!V165</f>
        <v>0</v>
      </c>
      <c r="N165" s="126">
        <f>'III. Database'!W165</f>
        <v>0</v>
      </c>
      <c r="O165" s="126">
        <f>'III. Database'!Z165</f>
        <v>0</v>
      </c>
      <c r="P165" s="126">
        <f>'III. Database'!AA165</f>
        <v>0</v>
      </c>
    </row>
  </sheetData>
  <pageMargins left="0.7" right="0.7" top="0.75" bottom="0.75" header="0.3" footer="0.3"/>
  <pageSetup scale="44" orientation="portrait" r:id="rId1"/>
  <rowBreaks count="1" manualBreakCount="1">
    <brk id="26" max="16383" man="1"/>
  </rowBreaks>
  <colBreaks count="2" manualBreakCount="2">
    <brk id="6" max="53"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66" zoomScaleNormal="66" workbookViewId="0">
      <selection activeCell="C72" sqref="C72"/>
    </sheetView>
  </sheetViews>
  <sheetFormatPr defaultRowHeight="15" x14ac:dyDescent="0.25"/>
  <cols>
    <col min="1" max="1" width="3.7109375" customWidth="1"/>
    <col min="2" max="2" width="23.42578125" customWidth="1"/>
    <col min="3" max="4" width="21.7109375" customWidth="1"/>
    <col min="5" max="6" width="15.85546875" customWidth="1"/>
    <col min="7" max="7" width="23.42578125" customWidth="1"/>
    <col min="8" max="15" width="15.85546875" customWidth="1"/>
    <col min="16" max="16" width="20.85546875" customWidth="1"/>
    <col min="17" max="17" width="4" customWidth="1"/>
  </cols>
  <sheetData>
    <row r="1" spans="1:17" ht="21" x14ac:dyDescent="0.25">
      <c r="A1" s="10"/>
      <c r="B1" s="48"/>
      <c r="C1" s="241"/>
      <c r="D1" s="241"/>
      <c r="E1" s="245"/>
      <c r="F1" s="241"/>
      <c r="G1" s="242"/>
      <c r="H1" s="242"/>
      <c r="I1" s="243"/>
      <c r="J1" s="244"/>
      <c r="K1" s="243"/>
      <c r="L1" s="242"/>
      <c r="M1" s="243"/>
      <c r="N1" s="244"/>
      <c r="O1" s="242"/>
      <c r="P1" s="242"/>
      <c r="Q1" s="7"/>
    </row>
    <row r="2" spans="1:17" ht="21" x14ac:dyDescent="0.25">
      <c r="A2" s="10"/>
      <c r="B2" s="43"/>
      <c r="C2" s="28"/>
      <c r="D2" s="28"/>
      <c r="E2" s="29"/>
      <c r="F2" s="29"/>
      <c r="G2" s="30"/>
      <c r="H2" s="31"/>
      <c r="I2" s="33"/>
      <c r="J2" s="66"/>
      <c r="K2" s="33"/>
      <c r="L2" s="32"/>
      <c r="M2" s="33"/>
      <c r="N2" s="66"/>
      <c r="O2" s="32"/>
      <c r="P2" s="32"/>
      <c r="Q2" s="7"/>
    </row>
    <row r="3" spans="1:17" ht="21" x14ac:dyDescent="0.25">
      <c r="A3" s="249"/>
      <c r="B3" s="43"/>
      <c r="C3" s="44"/>
      <c r="D3" s="44"/>
      <c r="E3" s="45"/>
      <c r="F3" s="45"/>
      <c r="G3" s="46"/>
      <c r="H3" s="47"/>
      <c r="I3" s="224" t="s">
        <v>38</v>
      </c>
      <c r="J3" s="225"/>
      <c r="K3" s="224" t="s">
        <v>44</v>
      </c>
      <c r="L3" s="225"/>
      <c r="M3" s="224" t="s">
        <v>49</v>
      </c>
      <c r="N3" s="225"/>
      <c r="O3" s="224" t="s">
        <v>51</v>
      </c>
      <c r="P3" s="226"/>
      <c r="Q3" s="250"/>
    </row>
    <row r="4" spans="1:17" ht="106.5" customHeight="1" thickBot="1" x14ac:dyDescent="0.3">
      <c r="A4" s="247"/>
      <c r="B4" s="230" t="s">
        <v>13</v>
      </c>
      <c r="C4" s="67" t="s">
        <v>0</v>
      </c>
      <c r="D4" s="67" t="s">
        <v>3</v>
      </c>
      <c r="E4" s="68" t="s">
        <v>205</v>
      </c>
      <c r="F4" s="68" t="s">
        <v>172</v>
      </c>
      <c r="G4" s="68" t="s">
        <v>43</v>
      </c>
      <c r="H4" s="69" t="s">
        <v>50</v>
      </c>
      <c r="I4" s="70">
        <v>2020</v>
      </c>
      <c r="J4" s="71">
        <v>2030</v>
      </c>
      <c r="K4" s="70" t="s">
        <v>47</v>
      </c>
      <c r="L4" s="72" t="s">
        <v>46</v>
      </c>
      <c r="M4" s="70" t="s">
        <v>45</v>
      </c>
      <c r="N4" s="71" t="s">
        <v>48</v>
      </c>
      <c r="O4" s="72" t="s">
        <v>52</v>
      </c>
      <c r="P4" s="72" t="s">
        <v>555</v>
      </c>
      <c r="Q4" s="248"/>
    </row>
    <row r="5" spans="1:17" ht="119.25" customHeight="1" x14ac:dyDescent="0.25">
      <c r="A5" s="10"/>
      <c r="B5" s="43" t="s">
        <v>7</v>
      </c>
      <c r="C5" s="28" t="s">
        <v>271</v>
      </c>
      <c r="D5" s="28" t="s">
        <v>19</v>
      </c>
      <c r="E5" s="29" t="s">
        <v>199</v>
      </c>
      <c r="F5" s="29" t="s">
        <v>173</v>
      </c>
      <c r="G5" s="30" t="s">
        <v>27</v>
      </c>
      <c r="H5" s="31" t="s">
        <v>8</v>
      </c>
      <c r="I5" s="272">
        <v>0.59</v>
      </c>
      <c r="J5" s="273">
        <v>0.82</v>
      </c>
      <c r="K5" s="272">
        <v>0.59</v>
      </c>
      <c r="L5" s="274">
        <v>0.82</v>
      </c>
      <c r="M5" s="272" t="s">
        <v>258</v>
      </c>
      <c r="N5" s="275" t="s">
        <v>258</v>
      </c>
      <c r="O5" s="274" t="s">
        <v>258</v>
      </c>
      <c r="P5" s="274" t="s">
        <v>258</v>
      </c>
      <c r="Q5" s="7"/>
    </row>
    <row r="6" spans="1:17" ht="31.5" x14ac:dyDescent="0.25">
      <c r="A6" s="10"/>
      <c r="B6" s="43" t="s">
        <v>27</v>
      </c>
      <c r="C6" s="28" t="s">
        <v>27</v>
      </c>
      <c r="D6" s="28" t="s">
        <v>27</v>
      </c>
      <c r="E6" s="29" t="s">
        <v>201</v>
      </c>
      <c r="F6" s="29" t="s">
        <v>175</v>
      </c>
      <c r="G6" s="30" t="s">
        <v>27</v>
      </c>
      <c r="H6" s="31" t="s">
        <v>8</v>
      </c>
      <c r="I6" s="272" t="s">
        <v>249</v>
      </c>
      <c r="J6" s="273">
        <v>0.55999999999999994</v>
      </c>
      <c r="K6" s="272" t="s">
        <v>249</v>
      </c>
      <c r="L6" s="274">
        <v>0.55999999999999994</v>
      </c>
      <c r="M6" s="272" t="s">
        <v>249</v>
      </c>
      <c r="N6" s="273">
        <v>0.26</v>
      </c>
      <c r="O6" s="274" t="s">
        <v>258</v>
      </c>
      <c r="P6" s="274" t="s">
        <v>258</v>
      </c>
      <c r="Q6" s="7"/>
    </row>
    <row r="7" spans="1:17" ht="94.5" x14ac:dyDescent="0.25">
      <c r="A7" s="10"/>
      <c r="B7" s="43" t="s">
        <v>27</v>
      </c>
      <c r="C7" s="28" t="s">
        <v>27</v>
      </c>
      <c r="D7" s="28" t="s">
        <v>27</v>
      </c>
      <c r="E7" s="29" t="s">
        <v>200</v>
      </c>
      <c r="F7" s="29" t="s">
        <v>174</v>
      </c>
      <c r="G7" s="30" t="s">
        <v>27</v>
      </c>
      <c r="H7" s="31" t="s">
        <v>8</v>
      </c>
      <c r="I7" s="272">
        <v>1.2</v>
      </c>
      <c r="J7" s="273">
        <v>1.2</v>
      </c>
      <c r="K7" s="272">
        <v>1.2</v>
      </c>
      <c r="L7" s="274">
        <v>1.2</v>
      </c>
      <c r="M7" s="272" t="s">
        <v>258</v>
      </c>
      <c r="N7" s="273" t="s">
        <v>258</v>
      </c>
      <c r="O7" s="274" t="s">
        <v>258</v>
      </c>
      <c r="P7" s="274" t="s">
        <v>258</v>
      </c>
      <c r="Q7" s="7"/>
    </row>
    <row r="8" spans="1:17" ht="30" customHeight="1" x14ac:dyDescent="0.25">
      <c r="A8" s="10"/>
      <c r="B8" s="43" t="s">
        <v>27</v>
      </c>
      <c r="C8" s="28" t="s">
        <v>27</v>
      </c>
      <c r="D8" s="28" t="s">
        <v>27</v>
      </c>
      <c r="E8" s="29" t="s">
        <v>202</v>
      </c>
      <c r="F8" s="29" t="s">
        <v>176</v>
      </c>
      <c r="G8" s="30" t="s">
        <v>211</v>
      </c>
      <c r="H8" s="31" t="s">
        <v>8</v>
      </c>
      <c r="I8" s="272" t="s">
        <v>249</v>
      </c>
      <c r="J8" s="273">
        <v>-0.16000000000000014</v>
      </c>
      <c r="K8" s="272" t="s">
        <v>249</v>
      </c>
      <c r="L8" s="274">
        <v>-0.16000000000000014</v>
      </c>
      <c r="M8" s="272" t="s">
        <v>249</v>
      </c>
      <c r="N8" s="273">
        <v>1.36</v>
      </c>
      <c r="O8" s="272" t="s">
        <v>249</v>
      </c>
      <c r="P8" s="274">
        <v>1.62</v>
      </c>
      <c r="Q8" s="7"/>
    </row>
    <row r="9" spans="1:17" ht="330.75" x14ac:dyDescent="0.25">
      <c r="A9" s="10"/>
      <c r="B9" s="49" t="s">
        <v>27</v>
      </c>
      <c r="C9" s="34" t="s">
        <v>275</v>
      </c>
      <c r="D9" s="34" t="s">
        <v>18</v>
      </c>
      <c r="E9" s="35" t="s">
        <v>199</v>
      </c>
      <c r="F9" s="35" t="s">
        <v>177</v>
      </c>
      <c r="G9" s="36" t="s">
        <v>27</v>
      </c>
      <c r="H9" s="73" t="s">
        <v>11</v>
      </c>
      <c r="I9" s="276">
        <v>800</v>
      </c>
      <c r="J9" s="277">
        <v>895</v>
      </c>
      <c r="K9" s="276">
        <v>0.8</v>
      </c>
      <c r="L9" s="278">
        <v>0.89500000000000002</v>
      </c>
      <c r="M9" s="276" t="s">
        <v>258</v>
      </c>
      <c r="N9" s="277" t="s">
        <v>258</v>
      </c>
      <c r="O9" s="278" t="s">
        <v>258</v>
      </c>
      <c r="P9" s="278" t="s">
        <v>258</v>
      </c>
      <c r="Q9" s="7"/>
    </row>
    <row r="10" spans="1:17" ht="31.5" x14ac:dyDescent="0.25">
      <c r="A10" s="10"/>
      <c r="B10" s="49" t="s">
        <v>27</v>
      </c>
      <c r="C10" s="34" t="s">
        <v>27</v>
      </c>
      <c r="D10" s="34" t="s">
        <v>27</v>
      </c>
      <c r="E10" s="35" t="s">
        <v>201</v>
      </c>
      <c r="F10" s="35" t="s">
        <v>178</v>
      </c>
      <c r="G10" s="36" t="s">
        <v>257</v>
      </c>
      <c r="H10" s="73" t="s">
        <v>11</v>
      </c>
      <c r="I10" s="276">
        <v>350</v>
      </c>
      <c r="J10" s="277">
        <v>321</v>
      </c>
      <c r="K10" s="276">
        <v>0.35000000000000003</v>
      </c>
      <c r="L10" s="278">
        <v>0.32100000000000001</v>
      </c>
      <c r="M10" s="276">
        <v>0.45</v>
      </c>
      <c r="N10" s="277">
        <v>0.57400000000000007</v>
      </c>
      <c r="O10" s="278">
        <v>0.45</v>
      </c>
      <c r="P10" s="278">
        <v>0.57400000000000007</v>
      </c>
      <c r="Q10" s="7"/>
    </row>
    <row r="11" spans="1:17" ht="204.75" x14ac:dyDescent="0.25">
      <c r="A11" s="10"/>
      <c r="B11" s="43" t="s">
        <v>27</v>
      </c>
      <c r="C11" s="28" t="s">
        <v>274</v>
      </c>
      <c r="D11" s="28" t="s">
        <v>21</v>
      </c>
      <c r="E11" s="29" t="s">
        <v>199</v>
      </c>
      <c r="F11" s="231" t="s">
        <v>179</v>
      </c>
      <c r="G11" s="82" t="s">
        <v>27</v>
      </c>
      <c r="H11" s="31" t="s">
        <v>9</v>
      </c>
      <c r="I11" s="272">
        <v>0.33</v>
      </c>
      <c r="J11" s="273">
        <v>0.33</v>
      </c>
      <c r="K11" s="272">
        <v>0.33</v>
      </c>
      <c r="L11" s="274">
        <v>0.33</v>
      </c>
      <c r="M11" s="272" t="s">
        <v>258</v>
      </c>
      <c r="N11" s="273" t="s">
        <v>258</v>
      </c>
      <c r="O11" s="274" t="s">
        <v>258</v>
      </c>
      <c r="P11" s="274" t="s">
        <v>258</v>
      </c>
      <c r="Q11" s="7"/>
    </row>
    <row r="12" spans="1:17" ht="31.5" x14ac:dyDescent="0.25">
      <c r="A12" s="10"/>
      <c r="B12" s="43" t="s">
        <v>27</v>
      </c>
      <c r="C12" s="28" t="s">
        <v>27</v>
      </c>
      <c r="D12" s="28" t="s">
        <v>27</v>
      </c>
      <c r="E12" s="29" t="s">
        <v>201</v>
      </c>
      <c r="F12" s="231" t="s">
        <v>180</v>
      </c>
      <c r="G12" s="82" t="s">
        <v>27</v>
      </c>
      <c r="H12" s="31" t="s">
        <v>9</v>
      </c>
      <c r="I12" s="272">
        <v>-8.666666666666667E-2</v>
      </c>
      <c r="J12" s="273">
        <v>-8.666666666666667E-2</v>
      </c>
      <c r="K12" s="272">
        <v>-8.666666666666667E-2</v>
      </c>
      <c r="L12" s="274">
        <v>-8.666666666666667E-2</v>
      </c>
      <c r="M12" s="272">
        <v>0.41666666666666669</v>
      </c>
      <c r="N12" s="273">
        <v>0.41666666666666669</v>
      </c>
      <c r="O12" s="274" t="s">
        <v>258</v>
      </c>
      <c r="P12" s="274" t="s">
        <v>258</v>
      </c>
      <c r="Q12" s="7"/>
    </row>
    <row r="13" spans="1:17" ht="31.5" x14ac:dyDescent="0.25">
      <c r="A13" s="10"/>
      <c r="B13" s="43" t="s">
        <v>27</v>
      </c>
      <c r="C13" s="28" t="s">
        <v>27</v>
      </c>
      <c r="D13" s="28" t="s">
        <v>27</v>
      </c>
      <c r="E13" s="29" t="s">
        <v>203</v>
      </c>
      <c r="F13" s="231" t="s">
        <v>181</v>
      </c>
      <c r="G13" s="82" t="s">
        <v>212</v>
      </c>
      <c r="H13" s="31" t="s">
        <v>9</v>
      </c>
      <c r="I13" s="272">
        <v>0.27</v>
      </c>
      <c r="J13" s="273">
        <v>0.27</v>
      </c>
      <c r="K13" s="272">
        <v>0.27</v>
      </c>
      <c r="L13" s="274">
        <v>0.27</v>
      </c>
      <c r="M13" s="272">
        <v>0.06</v>
      </c>
      <c r="N13" s="273">
        <v>0.06</v>
      </c>
      <c r="O13" s="274">
        <v>0.47666666666666668</v>
      </c>
      <c r="P13" s="274">
        <v>0.47666666666666668</v>
      </c>
      <c r="Q13" s="7"/>
    </row>
    <row r="14" spans="1:17" ht="128.25" customHeight="1" x14ac:dyDescent="0.25">
      <c r="A14" s="10"/>
      <c r="B14" s="49" t="s">
        <v>27</v>
      </c>
      <c r="C14" s="34" t="s">
        <v>15</v>
      </c>
      <c r="D14" s="34" t="s">
        <v>20</v>
      </c>
      <c r="E14" s="35" t="s">
        <v>199</v>
      </c>
      <c r="F14" s="35" t="s">
        <v>182</v>
      </c>
      <c r="G14" s="36" t="s">
        <v>27</v>
      </c>
      <c r="H14" s="73" t="s">
        <v>8</v>
      </c>
      <c r="I14" s="276">
        <v>-6.6612372500788469E-3</v>
      </c>
      <c r="J14" s="277">
        <v>-6.6612372500788469E-3</v>
      </c>
      <c r="K14" s="276">
        <v>-6.6612372500788469E-3</v>
      </c>
      <c r="L14" s="278">
        <v>-6.6612372500788469E-3</v>
      </c>
      <c r="M14" s="276" t="s">
        <v>258</v>
      </c>
      <c r="N14" s="277" t="s">
        <v>258</v>
      </c>
      <c r="O14" s="278" t="s">
        <v>258</v>
      </c>
      <c r="P14" s="278" t="s">
        <v>258</v>
      </c>
      <c r="Q14" s="7"/>
    </row>
    <row r="15" spans="1:17" ht="150" customHeight="1" x14ac:dyDescent="0.25">
      <c r="A15" s="10"/>
      <c r="B15" s="49" t="s">
        <v>27</v>
      </c>
      <c r="C15" s="34" t="s">
        <v>27</v>
      </c>
      <c r="D15" s="34" t="s">
        <v>27</v>
      </c>
      <c r="E15" s="35" t="s">
        <v>201</v>
      </c>
      <c r="F15" s="35" t="s">
        <v>183</v>
      </c>
      <c r="G15" s="36" t="s">
        <v>257</v>
      </c>
      <c r="H15" s="73" t="s">
        <v>8</v>
      </c>
      <c r="I15" s="276">
        <v>-0.26311887137811446</v>
      </c>
      <c r="J15" s="277">
        <v>-0.26311887137811446</v>
      </c>
      <c r="K15" s="276">
        <v>-0.26311887137811446</v>
      </c>
      <c r="L15" s="278">
        <v>-0.26311887137811446</v>
      </c>
      <c r="M15" s="276">
        <v>0.25645763412803563</v>
      </c>
      <c r="N15" s="277">
        <v>0.25645763412803563</v>
      </c>
      <c r="O15" s="278">
        <v>0.25645763412803563</v>
      </c>
      <c r="P15" s="278">
        <v>0.25645763412803563</v>
      </c>
      <c r="Q15" s="7"/>
    </row>
    <row r="16" spans="1:17" ht="141.75" x14ac:dyDescent="0.25">
      <c r="A16" s="12"/>
      <c r="B16" s="50" t="s">
        <v>60</v>
      </c>
      <c r="C16" s="91" t="s">
        <v>63</v>
      </c>
      <c r="D16" s="257" t="s">
        <v>19</v>
      </c>
      <c r="E16" s="258" t="s">
        <v>199</v>
      </c>
      <c r="F16" s="92" t="s">
        <v>184</v>
      </c>
      <c r="G16" s="93" t="s">
        <v>27</v>
      </c>
      <c r="H16" s="94" t="s">
        <v>64</v>
      </c>
      <c r="I16" s="279">
        <v>0.8</v>
      </c>
      <c r="J16" s="280">
        <v>0.9</v>
      </c>
      <c r="K16" s="279">
        <v>0.8</v>
      </c>
      <c r="L16" s="281">
        <v>0.9</v>
      </c>
      <c r="M16" s="279" t="s">
        <v>258</v>
      </c>
      <c r="N16" s="280" t="s">
        <v>258</v>
      </c>
      <c r="O16" s="281" t="s">
        <v>258</v>
      </c>
      <c r="P16" s="281" t="s">
        <v>258</v>
      </c>
      <c r="Q16" s="76"/>
    </row>
    <row r="17" spans="1:17" ht="21" x14ac:dyDescent="0.25">
      <c r="A17" s="10"/>
      <c r="B17" s="43" t="s">
        <v>27</v>
      </c>
      <c r="C17" s="28" t="s">
        <v>27</v>
      </c>
      <c r="D17" s="28" t="s">
        <v>27</v>
      </c>
      <c r="E17" s="29" t="s">
        <v>201</v>
      </c>
      <c r="F17" s="88" t="s">
        <v>175</v>
      </c>
      <c r="G17" s="82" t="s">
        <v>27</v>
      </c>
      <c r="H17" s="94" t="s">
        <v>64</v>
      </c>
      <c r="I17" s="272" t="s">
        <v>249</v>
      </c>
      <c r="J17" s="273">
        <v>0.1</v>
      </c>
      <c r="K17" s="272" t="s">
        <v>249</v>
      </c>
      <c r="L17" s="274">
        <v>0.1</v>
      </c>
      <c r="M17" s="272" t="s">
        <v>249</v>
      </c>
      <c r="N17" s="273">
        <v>0.8</v>
      </c>
      <c r="O17" s="274" t="s">
        <v>249</v>
      </c>
      <c r="P17" s="274">
        <v>0.8</v>
      </c>
      <c r="Q17" s="7"/>
    </row>
    <row r="18" spans="1:17" ht="110.25" x14ac:dyDescent="0.25">
      <c r="A18" s="10"/>
      <c r="B18" s="49" t="s">
        <v>27</v>
      </c>
      <c r="C18" s="79" t="s">
        <v>15</v>
      </c>
      <c r="D18" s="34" t="s">
        <v>20</v>
      </c>
      <c r="E18" s="35" t="s">
        <v>199</v>
      </c>
      <c r="F18" s="87" t="s">
        <v>182</v>
      </c>
      <c r="G18" s="37" t="s">
        <v>27</v>
      </c>
      <c r="H18" s="97" t="s">
        <v>8</v>
      </c>
      <c r="I18" s="276">
        <v>0.47609189762448167</v>
      </c>
      <c r="J18" s="277">
        <v>0.47609189762448167</v>
      </c>
      <c r="K18" s="282">
        <v>0.47609189762448167</v>
      </c>
      <c r="L18" s="282">
        <v>0.47609189762448167</v>
      </c>
      <c r="M18" s="276" t="s">
        <v>258</v>
      </c>
      <c r="N18" s="277" t="s">
        <v>258</v>
      </c>
      <c r="O18" s="278" t="s">
        <v>258</v>
      </c>
      <c r="P18" s="278" t="s">
        <v>258</v>
      </c>
      <c r="Q18" s="7"/>
    </row>
    <row r="19" spans="1:17" ht="94.5" x14ac:dyDescent="0.25">
      <c r="A19" s="10"/>
      <c r="B19" s="51" t="s">
        <v>27</v>
      </c>
      <c r="C19" s="41" t="s">
        <v>27</v>
      </c>
      <c r="D19" s="41" t="s">
        <v>27</v>
      </c>
      <c r="E19" s="42" t="s">
        <v>201</v>
      </c>
      <c r="F19" s="95" t="s">
        <v>183</v>
      </c>
      <c r="G19" s="96" t="s">
        <v>257</v>
      </c>
      <c r="H19" s="98" t="s">
        <v>8</v>
      </c>
      <c r="I19" s="283">
        <v>-0.69713456437870525</v>
      </c>
      <c r="J19" s="284">
        <v>-0.69713456437870525</v>
      </c>
      <c r="K19" s="285">
        <v>-0.69713456437870525</v>
      </c>
      <c r="L19" s="285">
        <v>-0.69713456437870525</v>
      </c>
      <c r="M19" s="283">
        <v>1.1732264620031869</v>
      </c>
      <c r="N19" s="284">
        <v>1.1732264620031869</v>
      </c>
      <c r="O19" s="286">
        <v>1.1732264620031869</v>
      </c>
      <c r="P19" s="286">
        <v>1.1732264620031869</v>
      </c>
      <c r="Q19" s="7"/>
    </row>
    <row r="20" spans="1:17" ht="110.25" x14ac:dyDescent="0.25">
      <c r="A20" s="10"/>
      <c r="B20" s="52" t="s">
        <v>66</v>
      </c>
      <c r="C20" s="28" t="s">
        <v>67</v>
      </c>
      <c r="D20" s="28" t="s">
        <v>68</v>
      </c>
      <c r="E20" s="29" t="s">
        <v>199</v>
      </c>
      <c r="F20" s="88" t="s">
        <v>260</v>
      </c>
      <c r="G20" s="82" t="s">
        <v>27</v>
      </c>
      <c r="H20" s="89" t="s">
        <v>11</v>
      </c>
      <c r="I20" s="272">
        <v>738.33</v>
      </c>
      <c r="J20" s="273">
        <v>940</v>
      </c>
      <c r="K20" s="287">
        <v>0.73833000000000004</v>
      </c>
      <c r="L20" s="287">
        <v>0.94000000000000006</v>
      </c>
      <c r="M20" s="272" t="s">
        <v>258</v>
      </c>
      <c r="N20" s="273" t="s">
        <v>258</v>
      </c>
      <c r="O20" s="274" t="s">
        <v>258</v>
      </c>
      <c r="P20" s="274" t="s">
        <v>258</v>
      </c>
      <c r="Q20" s="7"/>
    </row>
    <row r="21" spans="1:17" ht="63" x14ac:dyDescent="0.25">
      <c r="A21" s="10"/>
      <c r="B21" s="43" t="s">
        <v>27</v>
      </c>
      <c r="C21" s="28" t="s">
        <v>27</v>
      </c>
      <c r="D21" s="28" t="s">
        <v>27</v>
      </c>
      <c r="E21" s="29" t="s">
        <v>201</v>
      </c>
      <c r="F21" s="88" t="s">
        <v>262</v>
      </c>
      <c r="G21" s="82" t="s">
        <v>27</v>
      </c>
      <c r="H21" s="89" t="s">
        <v>11</v>
      </c>
      <c r="I21" s="272">
        <v>729.42899999999997</v>
      </c>
      <c r="J21" s="273">
        <v>931.09500000000003</v>
      </c>
      <c r="K21" s="287">
        <v>0.72942899999999999</v>
      </c>
      <c r="L21" s="287">
        <v>0.93109500000000001</v>
      </c>
      <c r="M21" s="272">
        <v>8.9010000000000478E-3</v>
      </c>
      <c r="N21" s="273">
        <v>8.9050000000000518E-3</v>
      </c>
      <c r="O21" s="274" t="s">
        <v>258</v>
      </c>
      <c r="P21" s="274" t="s">
        <v>258</v>
      </c>
      <c r="Q21" s="7"/>
    </row>
    <row r="22" spans="1:17" ht="47.25" x14ac:dyDescent="0.25">
      <c r="A22" s="10"/>
      <c r="B22" s="43" t="s">
        <v>27</v>
      </c>
      <c r="C22" s="28" t="s">
        <v>27</v>
      </c>
      <c r="D22" s="28" t="s">
        <v>27</v>
      </c>
      <c r="E22" s="29" t="s">
        <v>200</v>
      </c>
      <c r="F22" s="88" t="s">
        <v>264</v>
      </c>
      <c r="G22" s="82" t="s">
        <v>27</v>
      </c>
      <c r="H22" s="89" t="s">
        <v>11</v>
      </c>
      <c r="I22" s="272">
        <v>1720.83</v>
      </c>
      <c r="J22" s="273">
        <v>300</v>
      </c>
      <c r="K22" s="287">
        <v>1.7208299999999999</v>
      </c>
      <c r="L22" s="287">
        <v>0.3</v>
      </c>
      <c r="M22" s="272" t="s">
        <v>258</v>
      </c>
      <c r="N22" s="273" t="s">
        <v>258</v>
      </c>
      <c r="O22" s="274" t="s">
        <v>258</v>
      </c>
      <c r="P22" s="274" t="s">
        <v>258</v>
      </c>
      <c r="Q22" s="7"/>
    </row>
    <row r="23" spans="1:17" ht="47.25" x14ac:dyDescent="0.25">
      <c r="A23" s="10"/>
      <c r="B23" s="43" t="s">
        <v>27</v>
      </c>
      <c r="C23" s="232" t="s">
        <v>27</v>
      </c>
      <c r="D23" s="28" t="s">
        <v>27</v>
      </c>
      <c r="E23" s="29" t="s">
        <v>202</v>
      </c>
      <c r="F23" s="88" t="s">
        <v>263</v>
      </c>
      <c r="G23" s="82" t="s">
        <v>27</v>
      </c>
      <c r="H23" s="89" t="s">
        <v>11</v>
      </c>
      <c r="I23" s="272">
        <v>1712.095</v>
      </c>
      <c r="J23" s="273">
        <v>291.262</v>
      </c>
      <c r="K23" s="287">
        <v>1.7120950000000001</v>
      </c>
      <c r="L23" s="287">
        <v>0.29126200000000002</v>
      </c>
      <c r="M23" s="272">
        <v>8.7349999999997152E-3</v>
      </c>
      <c r="N23" s="273">
        <v>8.737999999999968E-3</v>
      </c>
      <c r="O23" s="274" t="s">
        <v>258</v>
      </c>
      <c r="P23" s="274" t="s">
        <v>258</v>
      </c>
      <c r="Q23" s="7"/>
    </row>
    <row r="24" spans="1:17" ht="78.75" x14ac:dyDescent="0.25">
      <c r="A24" s="10"/>
      <c r="B24" s="43" t="s">
        <v>27</v>
      </c>
      <c r="C24" s="28" t="s">
        <v>27</v>
      </c>
      <c r="D24" s="28" t="s">
        <v>27</v>
      </c>
      <c r="E24" s="29" t="s">
        <v>230</v>
      </c>
      <c r="F24" s="88" t="s">
        <v>265</v>
      </c>
      <c r="G24" s="82" t="s">
        <v>27</v>
      </c>
      <c r="H24" s="89" t="s">
        <v>11</v>
      </c>
      <c r="I24" s="272">
        <v>1140.625</v>
      </c>
      <c r="J24" s="273">
        <v>625</v>
      </c>
      <c r="K24" s="288">
        <v>1.140625</v>
      </c>
      <c r="L24" s="289">
        <v>0.625</v>
      </c>
      <c r="M24" s="272" t="s">
        <v>258</v>
      </c>
      <c r="N24" s="273" t="s">
        <v>258</v>
      </c>
      <c r="O24" s="274" t="s">
        <v>258</v>
      </c>
      <c r="P24" s="274" t="s">
        <v>258</v>
      </c>
      <c r="Q24" s="7"/>
    </row>
    <row r="25" spans="1:17" ht="94.5" x14ac:dyDescent="0.25">
      <c r="A25" s="10"/>
      <c r="B25" s="43" t="s">
        <v>27</v>
      </c>
      <c r="C25" s="28" t="s">
        <v>27</v>
      </c>
      <c r="D25" s="28" t="s">
        <v>27</v>
      </c>
      <c r="E25" s="29" t="s">
        <v>235</v>
      </c>
      <c r="F25" s="29" t="s">
        <v>266</v>
      </c>
      <c r="G25" s="30" t="s">
        <v>270</v>
      </c>
      <c r="H25" s="31" t="s">
        <v>11</v>
      </c>
      <c r="I25" s="272">
        <v>1138.1488099999999</v>
      </c>
      <c r="J25" s="273">
        <v>622.524</v>
      </c>
      <c r="K25" s="272">
        <v>1.1381488099999999</v>
      </c>
      <c r="L25" s="274">
        <v>0.62252399999999997</v>
      </c>
      <c r="M25" s="272">
        <v>2.4761900000001003E-3</v>
      </c>
      <c r="N25" s="273">
        <v>2.4760000000000337E-3</v>
      </c>
      <c r="O25" s="274">
        <v>2.0112189999999863E-2</v>
      </c>
      <c r="P25" s="274">
        <v>2.0119000000000054E-2</v>
      </c>
      <c r="Q25" s="7"/>
    </row>
    <row r="26" spans="1:17" ht="110.25" x14ac:dyDescent="0.25">
      <c r="A26" s="10"/>
      <c r="B26" s="49" t="s">
        <v>27</v>
      </c>
      <c r="C26" s="34" t="s">
        <v>15</v>
      </c>
      <c r="D26" s="34" t="s">
        <v>20</v>
      </c>
      <c r="E26" s="35" t="s">
        <v>199</v>
      </c>
      <c r="F26" s="35" t="s">
        <v>182</v>
      </c>
      <c r="G26" s="36" t="s">
        <v>27</v>
      </c>
      <c r="H26" s="73" t="s">
        <v>8</v>
      </c>
      <c r="I26" s="276">
        <v>2.6989724713283772E-2</v>
      </c>
      <c r="J26" s="277">
        <v>2.6989724713283772E-2</v>
      </c>
      <c r="K26" s="276">
        <v>2.6989724713283772E-2</v>
      </c>
      <c r="L26" s="278">
        <v>2.6989724713283772E-2</v>
      </c>
      <c r="M26" s="276" t="s">
        <v>258</v>
      </c>
      <c r="N26" s="277" t="s">
        <v>258</v>
      </c>
      <c r="O26" s="278" t="s">
        <v>258</v>
      </c>
      <c r="P26" s="278" t="s">
        <v>258</v>
      </c>
      <c r="Q26" s="7"/>
    </row>
    <row r="27" spans="1:17" ht="94.5" x14ac:dyDescent="0.25">
      <c r="A27" s="10"/>
      <c r="B27" s="49" t="s">
        <v>27</v>
      </c>
      <c r="C27" s="34" t="s">
        <v>27</v>
      </c>
      <c r="D27" s="34" t="s">
        <v>27</v>
      </c>
      <c r="E27" s="35" t="s">
        <v>201</v>
      </c>
      <c r="F27" s="35" t="s">
        <v>183</v>
      </c>
      <c r="G27" s="36" t="s">
        <v>257</v>
      </c>
      <c r="H27" s="73" t="s">
        <v>8</v>
      </c>
      <c r="I27" s="276">
        <v>5.8119466196746763E-3</v>
      </c>
      <c r="J27" s="277">
        <v>5.8119466196746763E-3</v>
      </c>
      <c r="K27" s="276">
        <v>5.8119466196746763E-3</v>
      </c>
      <c r="L27" s="278">
        <v>5.8119466196746763E-3</v>
      </c>
      <c r="M27" s="276">
        <v>2.1177778093609094E-2</v>
      </c>
      <c r="N27" s="277">
        <v>2.1177778093609094E-2</v>
      </c>
      <c r="O27" s="278">
        <v>2.1177778093609094E-2</v>
      </c>
      <c r="P27" s="278">
        <v>2.1177778093609094E-2</v>
      </c>
      <c r="Q27" s="7"/>
    </row>
    <row r="28" spans="1:17" ht="110.25" x14ac:dyDescent="0.25">
      <c r="A28" s="10"/>
      <c r="B28" s="50" t="s">
        <v>6</v>
      </c>
      <c r="C28" s="38" t="s">
        <v>17</v>
      </c>
      <c r="D28" s="38" t="s">
        <v>25</v>
      </c>
      <c r="E28" s="39" t="s">
        <v>199</v>
      </c>
      <c r="F28" s="39" t="s">
        <v>184</v>
      </c>
      <c r="G28" s="40" t="s">
        <v>27</v>
      </c>
      <c r="H28" s="239" t="s">
        <v>11</v>
      </c>
      <c r="I28" s="279">
        <v>487</v>
      </c>
      <c r="J28" s="280">
        <v>487</v>
      </c>
      <c r="K28" s="279">
        <v>0.48699999999999999</v>
      </c>
      <c r="L28" s="280">
        <v>0.48699999999999999</v>
      </c>
      <c r="M28" s="279" t="s">
        <v>258</v>
      </c>
      <c r="N28" s="280" t="s">
        <v>258</v>
      </c>
      <c r="O28" s="281" t="s">
        <v>258</v>
      </c>
      <c r="P28" s="281" t="s">
        <v>258</v>
      </c>
      <c r="Q28" s="7"/>
    </row>
    <row r="29" spans="1:17" ht="31.5" x14ac:dyDescent="0.25">
      <c r="A29" s="10"/>
      <c r="B29" s="246" t="s">
        <v>27</v>
      </c>
      <c r="C29" s="232" t="s">
        <v>27</v>
      </c>
      <c r="D29" s="28" t="s">
        <v>27</v>
      </c>
      <c r="E29" s="29" t="s">
        <v>201</v>
      </c>
      <c r="F29" s="88" t="s">
        <v>186</v>
      </c>
      <c r="G29" s="30" t="s">
        <v>257</v>
      </c>
      <c r="H29" s="89" t="s">
        <v>11</v>
      </c>
      <c r="I29" s="272">
        <v>326</v>
      </c>
      <c r="J29" s="289">
        <v>328</v>
      </c>
      <c r="K29" s="272">
        <v>0.32600000000000001</v>
      </c>
      <c r="L29" s="274">
        <v>0.32800000000000001</v>
      </c>
      <c r="M29" s="272">
        <v>0.16099999999999998</v>
      </c>
      <c r="N29" s="273">
        <v>0.15899999999999997</v>
      </c>
      <c r="O29" s="274">
        <v>0.16099999999999998</v>
      </c>
      <c r="P29" s="274">
        <v>0.15899999999999997</v>
      </c>
      <c r="Q29" s="7"/>
    </row>
    <row r="30" spans="1:17" ht="110.25" x14ac:dyDescent="0.25">
      <c r="A30" s="10"/>
      <c r="B30" s="49" t="s">
        <v>27</v>
      </c>
      <c r="C30" s="34" t="s">
        <v>15</v>
      </c>
      <c r="D30" s="34" t="s">
        <v>20</v>
      </c>
      <c r="E30" s="35" t="s">
        <v>199</v>
      </c>
      <c r="F30" s="35" t="s">
        <v>182</v>
      </c>
      <c r="G30" s="36" t="s">
        <v>27</v>
      </c>
      <c r="H30" s="97" t="s">
        <v>8</v>
      </c>
      <c r="I30" s="276">
        <v>-5.0272605427163441E-2</v>
      </c>
      <c r="J30" s="290">
        <v>-5.0272605427163441E-2</v>
      </c>
      <c r="K30" s="276">
        <v>-5.0272605427163441E-2</v>
      </c>
      <c r="L30" s="278">
        <v>-5.0272605427163441E-2</v>
      </c>
      <c r="M30" s="276" t="s">
        <v>258</v>
      </c>
      <c r="N30" s="277" t="s">
        <v>258</v>
      </c>
      <c r="O30" s="278" t="s">
        <v>258</v>
      </c>
      <c r="P30" s="278" t="s">
        <v>258</v>
      </c>
      <c r="Q30" s="7"/>
    </row>
    <row r="31" spans="1:17" ht="94.5" x14ac:dyDescent="0.25">
      <c r="A31" s="10"/>
      <c r="B31" s="49" t="s">
        <v>27</v>
      </c>
      <c r="C31" s="34" t="s">
        <v>27</v>
      </c>
      <c r="D31" s="34" t="s">
        <v>27</v>
      </c>
      <c r="E31" s="35" t="s">
        <v>201</v>
      </c>
      <c r="F31" s="35" t="s">
        <v>183</v>
      </c>
      <c r="G31" s="36" t="s">
        <v>257</v>
      </c>
      <c r="H31" s="97" t="s">
        <v>8</v>
      </c>
      <c r="I31" s="276">
        <v>-0.73610887448760731</v>
      </c>
      <c r="J31" s="290">
        <v>-0.73610887448760731</v>
      </c>
      <c r="K31" s="276">
        <v>-0.73610887448760731</v>
      </c>
      <c r="L31" s="278">
        <v>-0.73610887448760731</v>
      </c>
      <c r="M31" s="276">
        <v>0.68583626906044381</v>
      </c>
      <c r="N31" s="277">
        <v>0.68583626906044381</v>
      </c>
      <c r="O31" s="278">
        <v>0.68583626906044381</v>
      </c>
      <c r="P31" s="278">
        <v>0.68583626906044381</v>
      </c>
      <c r="Q31" s="7"/>
    </row>
    <row r="32" spans="1:17" ht="126" x14ac:dyDescent="0.25">
      <c r="A32" s="10"/>
      <c r="B32" s="50" t="s">
        <v>61</v>
      </c>
      <c r="C32" s="38" t="s">
        <v>65</v>
      </c>
      <c r="D32" s="38" t="s">
        <v>27</v>
      </c>
      <c r="E32" s="39" t="s">
        <v>199</v>
      </c>
      <c r="F32" s="39" t="s">
        <v>175</v>
      </c>
      <c r="G32" s="40" t="s">
        <v>27</v>
      </c>
      <c r="H32" s="105" t="s">
        <v>11</v>
      </c>
      <c r="I32" s="279">
        <v>529</v>
      </c>
      <c r="J32" s="291">
        <v>640</v>
      </c>
      <c r="K32" s="279">
        <v>0.52900000000000003</v>
      </c>
      <c r="L32" s="280">
        <v>0.64</v>
      </c>
      <c r="M32" s="279" t="s">
        <v>258</v>
      </c>
      <c r="N32" s="280" t="s">
        <v>258</v>
      </c>
      <c r="O32" s="281" t="s">
        <v>258</v>
      </c>
      <c r="P32" s="281" t="s">
        <v>258</v>
      </c>
      <c r="Q32" s="7"/>
    </row>
    <row r="33" spans="1:17" ht="21" x14ac:dyDescent="0.25">
      <c r="A33" s="10"/>
      <c r="B33" s="43" t="s">
        <v>27</v>
      </c>
      <c r="C33" s="232" t="s">
        <v>27</v>
      </c>
      <c r="D33" s="28" t="s">
        <v>27</v>
      </c>
      <c r="E33" s="29" t="s">
        <v>201</v>
      </c>
      <c r="F33" s="29" t="s">
        <v>175</v>
      </c>
      <c r="G33" s="30" t="s">
        <v>27</v>
      </c>
      <c r="H33" s="31" t="s">
        <v>11</v>
      </c>
      <c r="I33" s="272" t="s">
        <v>249</v>
      </c>
      <c r="J33" s="273">
        <v>445</v>
      </c>
      <c r="K33" s="272" t="s">
        <v>249</v>
      </c>
      <c r="L33" s="273">
        <v>0.44500000000000001</v>
      </c>
      <c r="M33" s="272" t="s">
        <v>249</v>
      </c>
      <c r="N33" s="273">
        <v>0.19500000000000001</v>
      </c>
      <c r="O33" s="274" t="s">
        <v>258</v>
      </c>
      <c r="P33" s="274" t="s">
        <v>258</v>
      </c>
      <c r="Q33" s="7"/>
    </row>
    <row r="34" spans="1:17" ht="21" x14ac:dyDescent="0.25">
      <c r="A34" s="10"/>
      <c r="B34" s="43" t="s">
        <v>27</v>
      </c>
      <c r="C34" s="28" t="s">
        <v>27</v>
      </c>
      <c r="D34" s="28" t="s">
        <v>27</v>
      </c>
      <c r="E34" s="29" t="s">
        <v>200</v>
      </c>
      <c r="F34" s="29" t="s">
        <v>185</v>
      </c>
      <c r="G34" s="30" t="s">
        <v>27</v>
      </c>
      <c r="H34" s="31" t="s">
        <v>11</v>
      </c>
      <c r="I34" s="272">
        <v>-45</v>
      </c>
      <c r="J34" s="273">
        <v>-90</v>
      </c>
      <c r="K34" s="272">
        <v>-4.4999999999999998E-2</v>
      </c>
      <c r="L34" s="273">
        <v>-0.09</v>
      </c>
      <c r="M34" s="272" t="s">
        <v>258</v>
      </c>
      <c r="N34" s="273" t="s">
        <v>258</v>
      </c>
      <c r="O34" s="274" t="s">
        <v>258</v>
      </c>
      <c r="P34" s="274" t="s">
        <v>258</v>
      </c>
      <c r="Q34" s="7"/>
    </row>
    <row r="35" spans="1:17" ht="21" x14ac:dyDescent="0.25">
      <c r="A35" s="12"/>
      <c r="B35" s="43" t="s">
        <v>27</v>
      </c>
      <c r="C35" s="28" t="s">
        <v>27</v>
      </c>
      <c r="D35" s="28" t="s">
        <v>27</v>
      </c>
      <c r="E35" s="29" t="s">
        <v>202</v>
      </c>
      <c r="F35" s="29" t="s">
        <v>185</v>
      </c>
      <c r="G35" s="30" t="s">
        <v>211</v>
      </c>
      <c r="H35" s="31" t="s">
        <v>11</v>
      </c>
      <c r="I35" s="272" t="s">
        <v>249</v>
      </c>
      <c r="J35" s="273">
        <v>-292</v>
      </c>
      <c r="K35" s="272" t="s">
        <v>249</v>
      </c>
      <c r="L35" s="274">
        <v>-0.29199999999999998</v>
      </c>
      <c r="M35" s="272" t="s">
        <v>249</v>
      </c>
      <c r="N35" s="273">
        <v>0.20199999999999999</v>
      </c>
      <c r="O35" s="274" t="s">
        <v>249</v>
      </c>
      <c r="P35" s="274">
        <v>0.39700000000000002</v>
      </c>
      <c r="Q35" s="7"/>
    </row>
    <row r="36" spans="1:17" ht="110.25" x14ac:dyDescent="0.25">
      <c r="A36" s="10"/>
      <c r="B36" s="49" t="s">
        <v>27</v>
      </c>
      <c r="C36" s="34" t="s">
        <v>15</v>
      </c>
      <c r="D36" s="34" t="s">
        <v>20</v>
      </c>
      <c r="E36" s="35" t="s">
        <v>199</v>
      </c>
      <c r="F36" s="35" t="s">
        <v>182</v>
      </c>
      <c r="G36" s="36" t="s">
        <v>27</v>
      </c>
      <c r="H36" s="73" t="s">
        <v>8</v>
      </c>
      <c r="I36" s="276">
        <v>1.5439803329663917</v>
      </c>
      <c r="J36" s="277">
        <v>1.5439803329663917</v>
      </c>
      <c r="K36" s="276">
        <v>1.5439803329663917</v>
      </c>
      <c r="L36" s="278">
        <v>1.5439803329663917</v>
      </c>
      <c r="M36" s="276" t="s">
        <v>258</v>
      </c>
      <c r="N36" s="277" t="s">
        <v>258</v>
      </c>
      <c r="O36" s="278" t="s">
        <v>258</v>
      </c>
      <c r="P36" s="278" t="s">
        <v>258</v>
      </c>
      <c r="Q36" s="7"/>
    </row>
    <row r="37" spans="1:17" ht="94.5" x14ac:dyDescent="0.25">
      <c r="A37" s="10"/>
      <c r="B37" s="49" t="s">
        <v>27</v>
      </c>
      <c r="C37" s="34" t="s">
        <v>27</v>
      </c>
      <c r="D37" s="34" t="s">
        <v>27</v>
      </c>
      <c r="E37" s="35" t="s">
        <v>201</v>
      </c>
      <c r="F37" s="35" t="s">
        <v>183</v>
      </c>
      <c r="G37" s="36" t="s">
        <v>257</v>
      </c>
      <c r="H37" s="73" t="s">
        <v>8</v>
      </c>
      <c r="I37" s="276">
        <v>0.53240701136772128</v>
      </c>
      <c r="J37" s="277">
        <v>0.53240701136772128</v>
      </c>
      <c r="K37" s="276">
        <v>0.53240701136772128</v>
      </c>
      <c r="L37" s="278">
        <v>0.53240701136772128</v>
      </c>
      <c r="M37" s="276">
        <v>1.0115733215986704</v>
      </c>
      <c r="N37" s="277">
        <v>1.0115733215986704</v>
      </c>
      <c r="O37" s="278">
        <v>1.0115733215986704</v>
      </c>
      <c r="P37" s="278">
        <v>1.0115733215986704</v>
      </c>
      <c r="Q37" s="7"/>
    </row>
    <row r="38" spans="1:17" ht="94.5" x14ac:dyDescent="0.25">
      <c r="A38" s="10"/>
      <c r="B38" s="50" t="s">
        <v>2</v>
      </c>
      <c r="C38" s="38" t="s">
        <v>101</v>
      </c>
      <c r="D38" s="38" t="s">
        <v>4</v>
      </c>
      <c r="E38" s="39" t="s">
        <v>199</v>
      </c>
      <c r="F38" s="39" t="s">
        <v>187</v>
      </c>
      <c r="G38" s="40" t="s">
        <v>27</v>
      </c>
      <c r="H38" s="239" t="s">
        <v>11</v>
      </c>
      <c r="I38" s="279">
        <v>1084</v>
      </c>
      <c r="J38" s="280">
        <v>1084</v>
      </c>
      <c r="K38" s="279">
        <v>1.0840000000000001</v>
      </c>
      <c r="L38" s="281">
        <v>1.0840000000000001</v>
      </c>
      <c r="M38" s="279" t="s">
        <v>258</v>
      </c>
      <c r="N38" s="280" t="s">
        <v>258</v>
      </c>
      <c r="O38" s="281" t="s">
        <v>258</v>
      </c>
      <c r="P38" s="281" t="s">
        <v>258</v>
      </c>
      <c r="Q38" s="7"/>
    </row>
    <row r="39" spans="1:17" ht="47.25" x14ac:dyDescent="0.25">
      <c r="A39" s="10"/>
      <c r="B39" s="43" t="s">
        <v>27</v>
      </c>
      <c r="C39" s="28" t="s">
        <v>27</v>
      </c>
      <c r="D39" s="28" t="s">
        <v>27</v>
      </c>
      <c r="E39" s="29" t="s">
        <v>201</v>
      </c>
      <c r="F39" s="29" t="s">
        <v>189</v>
      </c>
      <c r="G39" s="30" t="s">
        <v>27</v>
      </c>
      <c r="H39" s="31" t="s">
        <v>11</v>
      </c>
      <c r="I39" s="272" t="s">
        <v>249</v>
      </c>
      <c r="J39" s="273">
        <v>-120</v>
      </c>
      <c r="K39" s="272" t="s">
        <v>249</v>
      </c>
      <c r="L39" s="274">
        <v>-0.12</v>
      </c>
      <c r="M39" s="272" t="s">
        <v>249</v>
      </c>
      <c r="N39" s="273">
        <v>1.2040000000000002</v>
      </c>
      <c r="O39" s="274" t="s">
        <v>258</v>
      </c>
      <c r="P39" s="274" t="s">
        <v>258</v>
      </c>
      <c r="Q39" s="7"/>
    </row>
    <row r="40" spans="1:17" ht="47.25" x14ac:dyDescent="0.25">
      <c r="A40" s="10"/>
      <c r="B40" s="43" t="s">
        <v>27</v>
      </c>
      <c r="C40" s="28" t="s">
        <v>27</v>
      </c>
      <c r="D40" s="28" t="s">
        <v>27</v>
      </c>
      <c r="E40" s="29" t="s">
        <v>200</v>
      </c>
      <c r="F40" s="29" t="s">
        <v>188</v>
      </c>
      <c r="G40" s="30" t="s">
        <v>27</v>
      </c>
      <c r="H40" s="31" t="s">
        <v>11</v>
      </c>
      <c r="I40" s="272">
        <v>151</v>
      </c>
      <c r="J40" s="273">
        <v>164</v>
      </c>
      <c r="K40" s="272">
        <v>0.151</v>
      </c>
      <c r="L40" s="274">
        <v>0.16400000000000001</v>
      </c>
      <c r="M40" s="272" t="s">
        <v>258</v>
      </c>
      <c r="N40" s="273" t="s">
        <v>258</v>
      </c>
      <c r="O40" s="274" t="s">
        <v>258</v>
      </c>
      <c r="P40" s="274" t="s">
        <v>258</v>
      </c>
      <c r="Q40" s="7"/>
    </row>
    <row r="41" spans="1:17" ht="47.25" x14ac:dyDescent="0.25">
      <c r="A41" s="10"/>
      <c r="B41" s="43" t="s">
        <v>27</v>
      </c>
      <c r="C41" s="28" t="s">
        <v>27</v>
      </c>
      <c r="D41" s="28" t="s">
        <v>27</v>
      </c>
      <c r="E41" s="29" t="s">
        <v>202</v>
      </c>
      <c r="F41" s="29" t="s">
        <v>190</v>
      </c>
      <c r="G41" s="30" t="s">
        <v>211</v>
      </c>
      <c r="H41" s="31" t="s">
        <v>11</v>
      </c>
      <c r="I41" s="272" t="s">
        <v>249</v>
      </c>
      <c r="J41" s="273">
        <v>59</v>
      </c>
      <c r="K41" s="272" t="s">
        <v>249</v>
      </c>
      <c r="L41" s="274">
        <v>5.9000000000000004E-2</v>
      </c>
      <c r="M41" s="272" t="s">
        <v>249</v>
      </c>
      <c r="N41" s="273">
        <v>0.10500000000000001</v>
      </c>
      <c r="O41" s="274" t="s">
        <v>249</v>
      </c>
      <c r="P41" s="274">
        <v>1.3090000000000002</v>
      </c>
      <c r="Q41" s="7"/>
    </row>
    <row r="42" spans="1:17" ht="126" x14ac:dyDescent="0.25">
      <c r="A42" s="10"/>
      <c r="B42" s="49" t="s">
        <v>27</v>
      </c>
      <c r="C42" s="34" t="s">
        <v>111</v>
      </c>
      <c r="D42" s="34" t="s">
        <v>10</v>
      </c>
      <c r="E42" s="35" t="s">
        <v>199</v>
      </c>
      <c r="F42" s="35" t="s">
        <v>185</v>
      </c>
      <c r="G42" s="36" t="s">
        <v>27</v>
      </c>
      <c r="H42" s="73" t="s">
        <v>26</v>
      </c>
      <c r="I42" s="276">
        <v>852</v>
      </c>
      <c r="J42" s="278">
        <v>852</v>
      </c>
      <c r="K42" s="276">
        <v>0.85199999999999998</v>
      </c>
      <c r="L42" s="277">
        <v>0.85199999999999998</v>
      </c>
      <c r="M42" s="276" t="s">
        <v>258</v>
      </c>
      <c r="N42" s="277" t="s">
        <v>258</v>
      </c>
      <c r="O42" s="278" t="s">
        <v>258</v>
      </c>
      <c r="P42" s="278" t="s">
        <v>258</v>
      </c>
      <c r="Q42" s="7"/>
    </row>
    <row r="43" spans="1:17" ht="78.75" x14ac:dyDescent="0.25">
      <c r="A43" s="13"/>
      <c r="B43" s="49" t="s">
        <v>27</v>
      </c>
      <c r="C43" s="34" t="s">
        <v>27</v>
      </c>
      <c r="D43" s="34" t="s">
        <v>27</v>
      </c>
      <c r="E43" s="35" t="s">
        <v>201</v>
      </c>
      <c r="F43" s="35" t="s">
        <v>237</v>
      </c>
      <c r="G43" s="36" t="s">
        <v>27</v>
      </c>
      <c r="H43" s="73" t="s">
        <v>26</v>
      </c>
      <c r="I43" s="276">
        <v>98</v>
      </c>
      <c r="J43" s="278" t="s">
        <v>249</v>
      </c>
      <c r="K43" s="276">
        <v>9.8000000000000004E-2</v>
      </c>
      <c r="L43" s="277">
        <v>0</v>
      </c>
      <c r="M43" s="276">
        <v>0.754</v>
      </c>
      <c r="N43" s="277">
        <v>0.85199999999999998</v>
      </c>
      <c r="O43" s="278" t="s">
        <v>258</v>
      </c>
      <c r="P43" s="278" t="s">
        <v>258</v>
      </c>
      <c r="Q43" s="17"/>
    </row>
    <row r="44" spans="1:17" ht="78.75" x14ac:dyDescent="0.25">
      <c r="A44" s="10"/>
      <c r="B44" s="49" t="s">
        <v>27</v>
      </c>
      <c r="C44" s="34" t="s">
        <v>27</v>
      </c>
      <c r="D44" s="34" t="s">
        <v>27</v>
      </c>
      <c r="E44" s="35" t="s">
        <v>203</v>
      </c>
      <c r="F44" s="35" t="s">
        <v>240</v>
      </c>
      <c r="G44" s="36" t="s">
        <v>27</v>
      </c>
      <c r="H44" s="73" t="s">
        <v>26</v>
      </c>
      <c r="I44" s="276">
        <v>-212</v>
      </c>
      <c r="J44" s="278" t="s">
        <v>249</v>
      </c>
      <c r="K44" s="276">
        <v>-0.21199999999999999</v>
      </c>
      <c r="L44" s="277">
        <v>0</v>
      </c>
      <c r="M44" s="276">
        <v>1.0640000000000001</v>
      </c>
      <c r="N44" s="277">
        <v>0.85199999999999998</v>
      </c>
      <c r="O44" s="278" t="s">
        <v>258</v>
      </c>
      <c r="P44" s="278" t="s">
        <v>258</v>
      </c>
      <c r="Q44" s="7"/>
    </row>
    <row r="45" spans="1:17" ht="31.5" x14ac:dyDescent="0.25">
      <c r="A45" s="10"/>
      <c r="B45" s="49" t="s">
        <v>27</v>
      </c>
      <c r="C45" s="34" t="s">
        <v>27</v>
      </c>
      <c r="D45" s="34" t="s">
        <v>27</v>
      </c>
      <c r="E45" s="35" t="s">
        <v>251</v>
      </c>
      <c r="F45" s="35" t="s">
        <v>254</v>
      </c>
      <c r="G45" s="36" t="s">
        <v>27</v>
      </c>
      <c r="H45" s="73" t="s">
        <v>26</v>
      </c>
      <c r="I45" s="276" t="s">
        <v>249</v>
      </c>
      <c r="J45" s="278">
        <v>-248</v>
      </c>
      <c r="K45" s="276">
        <v>0</v>
      </c>
      <c r="L45" s="277">
        <v>-0.248</v>
      </c>
      <c r="M45" s="276" t="s">
        <v>258</v>
      </c>
      <c r="N45" s="277" t="s">
        <v>258</v>
      </c>
      <c r="O45" s="278" t="s">
        <v>258</v>
      </c>
      <c r="P45" s="278" t="s">
        <v>258</v>
      </c>
      <c r="Q45" s="7"/>
    </row>
    <row r="46" spans="1:17" ht="21" x14ac:dyDescent="0.25">
      <c r="A46" s="10"/>
      <c r="B46" s="49" t="s">
        <v>27</v>
      </c>
      <c r="C46" s="34" t="s">
        <v>27</v>
      </c>
      <c r="D46" s="34" t="s">
        <v>27</v>
      </c>
      <c r="E46" s="35" t="s">
        <v>200</v>
      </c>
      <c r="F46" s="35" t="s">
        <v>234</v>
      </c>
      <c r="G46" s="36" t="s">
        <v>27</v>
      </c>
      <c r="H46" s="73" t="s">
        <v>26</v>
      </c>
      <c r="I46" s="276">
        <v>1160</v>
      </c>
      <c r="J46" s="278">
        <v>1230</v>
      </c>
      <c r="K46" s="276">
        <v>1.1599999999999999</v>
      </c>
      <c r="L46" s="277">
        <v>1.23</v>
      </c>
      <c r="M46" s="276" t="s">
        <v>258</v>
      </c>
      <c r="N46" s="277" t="s">
        <v>258</v>
      </c>
      <c r="O46" s="278" t="s">
        <v>258</v>
      </c>
      <c r="P46" s="278" t="s">
        <v>258</v>
      </c>
      <c r="Q46" s="7"/>
    </row>
    <row r="47" spans="1:17" ht="78.75" x14ac:dyDescent="0.25">
      <c r="A47" s="10"/>
      <c r="B47" s="49" t="s">
        <v>27</v>
      </c>
      <c r="C47" s="34" t="s">
        <v>27</v>
      </c>
      <c r="D47" s="34" t="s">
        <v>27</v>
      </c>
      <c r="E47" s="35" t="s">
        <v>202</v>
      </c>
      <c r="F47" s="35" t="s">
        <v>238</v>
      </c>
      <c r="G47" s="36" t="s">
        <v>27</v>
      </c>
      <c r="H47" s="73" t="s">
        <v>26</v>
      </c>
      <c r="I47" s="276">
        <v>810</v>
      </c>
      <c r="J47" s="278" t="s">
        <v>249</v>
      </c>
      <c r="K47" s="276">
        <v>0.81</v>
      </c>
      <c r="L47" s="277">
        <v>0</v>
      </c>
      <c r="M47" s="278">
        <v>0.34999999999999987</v>
      </c>
      <c r="N47" s="277">
        <v>1.23</v>
      </c>
      <c r="O47" s="278" t="s">
        <v>258</v>
      </c>
      <c r="P47" s="278" t="s">
        <v>258</v>
      </c>
      <c r="Q47" s="7"/>
    </row>
    <row r="48" spans="1:17" ht="78.75" x14ac:dyDescent="0.25">
      <c r="A48" s="10"/>
      <c r="B48" s="49" t="s">
        <v>27</v>
      </c>
      <c r="C48" s="34" t="s">
        <v>27</v>
      </c>
      <c r="D48" s="34" t="s">
        <v>27</v>
      </c>
      <c r="E48" s="35" t="s">
        <v>236</v>
      </c>
      <c r="F48" s="35" t="s">
        <v>241</v>
      </c>
      <c r="G48" s="36" t="s">
        <v>27</v>
      </c>
      <c r="H48" s="73" t="s">
        <v>26</v>
      </c>
      <c r="I48" s="276">
        <v>753</v>
      </c>
      <c r="J48" s="277" t="s">
        <v>249</v>
      </c>
      <c r="K48" s="276">
        <v>0.753</v>
      </c>
      <c r="L48" s="277">
        <v>0</v>
      </c>
      <c r="M48" s="276">
        <v>0.40699999999999992</v>
      </c>
      <c r="N48" s="277">
        <v>1.23</v>
      </c>
      <c r="O48" s="278" t="s">
        <v>258</v>
      </c>
      <c r="P48" s="278" t="s">
        <v>258</v>
      </c>
      <c r="Q48" s="7"/>
    </row>
    <row r="49" spans="1:17" ht="31.5" x14ac:dyDescent="0.25">
      <c r="A49" s="10"/>
      <c r="B49" s="49" t="s">
        <v>27</v>
      </c>
      <c r="C49" s="34" t="s">
        <v>27</v>
      </c>
      <c r="D49" s="34" t="s">
        <v>27</v>
      </c>
      <c r="E49" s="35" t="s">
        <v>252</v>
      </c>
      <c r="F49" s="35" t="s">
        <v>254</v>
      </c>
      <c r="G49" s="36" t="s">
        <v>27</v>
      </c>
      <c r="H49" s="73" t="s">
        <v>26</v>
      </c>
      <c r="I49" s="276" t="s">
        <v>249</v>
      </c>
      <c r="J49" s="277">
        <v>530</v>
      </c>
      <c r="K49" s="276">
        <v>0</v>
      </c>
      <c r="L49" s="277">
        <v>0.53</v>
      </c>
      <c r="M49" s="276">
        <v>1.1599999999999999</v>
      </c>
      <c r="N49" s="277">
        <v>0.7</v>
      </c>
      <c r="O49" s="278" t="s">
        <v>258</v>
      </c>
      <c r="P49" s="278" t="s">
        <v>258</v>
      </c>
      <c r="Q49" s="7"/>
    </row>
    <row r="50" spans="1:17" ht="21" x14ac:dyDescent="0.25">
      <c r="A50" s="13"/>
      <c r="B50" s="49" t="s">
        <v>27</v>
      </c>
      <c r="C50" s="34" t="s">
        <v>27</v>
      </c>
      <c r="D50" s="34" t="s">
        <v>27</v>
      </c>
      <c r="E50" s="35" t="s">
        <v>230</v>
      </c>
      <c r="F50" s="35" t="s">
        <v>175</v>
      </c>
      <c r="G50" s="36" t="s">
        <v>27</v>
      </c>
      <c r="H50" s="73" t="s">
        <v>26</v>
      </c>
      <c r="I50" s="276">
        <v>150</v>
      </c>
      <c r="J50" s="277">
        <v>164</v>
      </c>
      <c r="K50" s="276">
        <v>0.15</v>
      </c>
      <c r="L50" s="277">
        <v>0.16400000000000001</v>
      </c>
      <c r="M50" s="276" t="s">
        <v>258</v>
      </c>
      <c r="N50" s="277" t="s">
        <v>258</v>
      </c>
      <c r="O50" s="278" t="s">
        <v>258</v>
      </c>
      <c r="P50" s="278" t="s">
        <v>258</v>
      </c>
      <c r="Q50" s="17"/>
    </row>
    <row r="51" spans="1:17" ht="94.5" x14ac:dyDescent="0.25">
      <c r="A51" s="14"/>
      <c r="B51" s="240" t="s">
        <v>27</v>
      </c>
      <c r="C51" s="34" t="s">
        <v>27</v>
      </c>
      <c r="D51" s="34" t="s">
        <v>27</v>
      </c>
      <c r="E51" s="35" t="s">
        <v>235</v>
      </c>
      <c r="F51" s="35" t="s">
        <v>239</v>
      </c>
      <c r="G51" s="35" t="s">
        <v>27</v>
      </c>
      <c r="H51" s="233" t="s">
        <v>26</v>
      </c>
      <c r="I51" s="292">
        <v>59</v>
      </c>
      <c r="J51" s="290" t="s">
        <v>249</v>
      </c>
      <c r="K51" s="292">
        <v>5.9000000000000004E-2</v>
      </c>
      <c r="L51" s="290">
        <v>0</v>
      </c>
      <c r="M51" s="292">
        <v>9.0999999999999998E-2</v>
      </c>
      <c r="N51" s="290">
        <v>0.16400000000000001</v>
      </c>
      <c r="O51" s="282" t="s">
        <v>258</v>
      </c>
      <c r="P51" s="282" t="s">
        <v>258</v>
      </c>
      <c r="Q51" s="8"/>
    </row>
    <row r="52" spans="1:17" ht="94.5" x14ac:dyDescent="0.25">
      <c r="A52" s="14"/>
      <c r="B52" s="240" t="s">
        <v>27</v>
      </c>
      <c r="C52" s="34" t="s">
        <v>27</v>
      </c>
      <c r="D52" s="34" t="s">
        <v>27</v>
      </c>
      <c r="E52" s="35" t="s">
        <v>248</v>
      </c>
      <c r="F52" s="35" t="s">
        <v>242</v>
      </c>
      <c r="G52" s="35" t="s">
        <v>27</v>
      </c>
      <c r="H52" s="233" t="s">
        <v>26</v>
      </c>
      <c r="I52" s="292">
        <v>49</v>
      </c>
      <c r="J52" s="290" t="s">
        <v>249</v>
      </c>
      <c r="K52" s="292">
        <v>4.9000000000000002E-2</v>
      </c>
      <c r="L52" s="290">
        <v>0</v>
      </c>
      <c r="M52" s="282">
        <v>0.10099999999999999</v>
      </c>
      <c r="N52" s="290">
        <v>0.16400000000000001</v>
      </c>
      <c r="O52" s="282" t="s">
        <v>258</v>
      </c>
      <c r="P52" s="282" t="s">
        <v>258</v>
      </c>
      <c r="Q52" s="8"/>
    </row>
    <row r="53" spans="1:17" ht="31.5" x14ac:dyDescent="0.25">
      <c r="A53" s="10"/>
      <c r="B53" s="49" t="s">
        <v>27</v>
      </c>
      <c r="C53" s="34" t="s">
        <v>27</v>
      </c>
      <c r="D53" s="34" t="s">
        <v>27</v>
      </c>
      <c r="E53" s="35" t="s">
        <v>253</v>
      </c>
      <c r="F53" s="35" t="s">
        <v>254</v>
      </c>
      <c r="G53" s="36" t="s">
        <v>259</v>
      </c>
      <c r="H53" s="73" t="s">
        <v>26</v>
      </c>
      <c r="I53" s="276" t="s">
        <v>249</v>
      </c>
      <c r="J53" s="277">
        <v>59</v>
      </c>
      <c r="K53" s="278">
        <v>0</v>
      </c>
      <c r="L53" s="278">
        <v>5.9000000000000004E-2</v>
      </c>
      <c r="M53" s="276">
        <v>0.15</v>
      </c>
      <c r="N53" s="277">
        <v>0.10500000000000001</v>
      </c>
      <c r="O53" s="278">
        <v>2.7670000000000003</v>
      </c>
      <c r="P53" s="278">
        <v>0.80499999999999994</v>
      </c>
      <c r="Q53" s="7"/>
    </row>
    <row r="54" spans="1:17" ht="110.25" x14ac:dyDescent="0.25">
      <c r="A54" s="13"/>
      <c r="B54" s="43" t="s">
        <v>27</v>
      </c>
      <c r="C54" s="28" t="s">
        <v>15</v>
      </c>
      <c r="D54" s="28" t="s">
        <v>20</v>
      </c>
      <c r="E54" s="29" t="s">
        <v>199</v>
      </c>
      <c r="F54" s="29" t="s">
        <v>182</v>
      </c>
      <c r="G54" s="30" t="s">
        <v>27</v>
      </c>
      <c r="H54" s="31" t="s">
        <v>8</v>
      </c>
      <c r="I54" s="272">
        <v>0.4798760044899088</v>
      </c>
      <c r="J54" s="273">
        <v>0.4798760044899088</v>
      </c>
      <c r="K54" s="272">
        <v>0.4798760044899088</v>
      </c>
      <c r="L54" s="273">
        <v>0.4798760044899088</v>
      </c>
      <c r="M54" s="272" t="s">
        <v>258</v>
      </c>
      <c r="N54" s="273" t="s">
        <v>258</v>
      </c>
      <c r="O54" s="274" t="s">
        <v>258</v>
      </c>
      <c r="P54" s="274" t="s">
        <v>258</v>
      </c>
      <c r="Q54" s="17"/>
    </row>
    <row r="55" spans="1:17" ht="94.5" x14ac:dyDescent="0.25">
      <c r="A55" s="10"/>
      <c r="B55" s="43" t="s">
        <v>27</v>
      </c>
      <c r="C55" s="28" t="s">
        <v>27</v>
      </c>
      <c r="D55" s="28" t="s">
        <v>27</v>
      </c>
      <c r="E55" s="29" t="s">
        <v>201</v>
      </c>
      <c r="F55" s="29" t="s">
        <v>183</v>
      </c>
      <c r="G55" s="30" t="s">
        <v>257</v>
      </c>
      <c r="H55" s="31" t="s">
        <v>8</v>
      </c>
      <c r="I55" s="272">
        <v>-9.121610002700746E-2</v>
      </c>
      <c r="J55" s="273">
        <v>-9.121610002700746E-2</v>
      </c>
      <c r="K55" s="272">
        <v>-9.121610002700746E-2</v>
      </c>
      <c r="L55" s="273">
        <v>-9.121610002700746E-2</v>
      </c>
      <c r="M55" s="272">
        <v>0.57109210451691628</v>
      </c>
      <c r="N55" s="273">
        <v>0.57109210451691628</v>
      </c>
      <c r="O55" s="274">
        <v>0.57109210451691628</v>
      </c>
      <c r="P55" s="274">
        <v>0.57109210451691628</v>
      </c>
      <c r="Q55" s="7"/>
    </row>
    <row r="56" spans="1:17" ht="110.25" x14ac:dyDescent="0.25">
      <c r="A56" s="10"/>
      <c r="B56" s="234" t="s">
        <v>1</v>
      </c>
      <c r="C56" s="235" t="s">
        <v>273</v>
      </c>
      <c r="D56" s="235" t="s">
        <v>22</v>
      </c>
      <c r="E56" s="236" t="s">
        <v>199</v>
      </c>
      <c r="F56" s="236" t="s">
        <v>191</v>
      </c>
      <c r="G56" s="237" t="s">
        <v>27</v>
      </c>
      <c r="H56" s="238" t="s">
        <v>11</v>
      </c>
      <c r="I56" s="293">
        <v>92.909090909090878</v>
      </c>
      <c r="J56" s="294">
        <v>86.999999999999943</v>
      </c>
      <c r="K56" s="293">
        <v>9.2909090909090886E-2</v>
      </c>
      <c r="L56" s="294">
        <v>8.6999999999999938E-2</v>
      </c>
      <c r="M56" s="293" t="s">
        <v>258</v>
      </c>
      <c r="N56" s="294" t="s">
        <v>258</v>
      </c>
      <c r="O56" s="295" t="s">
        <v>258</v>
      </c>
      <c r="P56" s="295" t="s">
        <v>258</v>
      </c>
      <c r="Q56" s="7"/>
    </row>
    <row r="57" spans="1:17" ht="78.75" x14ac:dyDescent="0.25">
      <c r="A57" s="10"/>
      <c r="B57" s="49" t="s">
        <v>27</v>
      </c>
      <c r="C57" s="34" t="s">
        <v>27</v>
      </c>
      <c r="D57" s="34" t="s">
        <v>27</v>
      </c>
      <c r="E57" s="35" t="s">
        <v>201</v>
      </c>
      <c r="F57" s="35" t="s">
        <v>192</v>
      </c>
      <c r="G57" s="36" t="s">
        <v>27</v>
      </c>
      <c r="H57" s="73" t="s">
        <v>11</v>
      </c>
      <c r="I57" s="276">
        <v>22.999999999999972</v>
      </c>
      <c r="J57" s="277">
        <v>-75.000000000000057</v>
      </c>
      <c r="K57" s="276">
        <v>2.2999999999999972E-2</v>
      </c>
      <c r="L57" s="278">
        <v>-7.5000000000000053E-2</v>
      </c>
      <c r="M57" s="276">
        <v>6.9909090909090921E-2</v>
      </c>
      <c r="N57" s="277">
        <v>0.16199999999999998</v>
      </c>
      <c r="O57" s="278" t="s">
        <v>258</v>
      </c>
      <c r="P57" s="278" t="s">
        <v>258</v>
      </c>
      <c r="Q57" s="7"/>
    </row>
    <row r="58" spans="1:17" ht="31.5" x14ac:dyDescent="0.25">
      <c r="A58" s="10"/>
      <c r="B58" s="49" t="s">
        <v>27</v>
      </c>
      <c r="C58" s="34" t="s">
        <v>27</v>
      </c>
      <c r="D58" s="34" t="s">
        <v>27</v>
      </c>
      <c r="E58" s="35" t="s">
        <v>203</v>
      </c>
      <c r="F58" s="35" t="s">
        <v>193</v>
      </c>
      <c r="G58" s="36" t="s">
        <v>14</v>
      </c>
      <c r="H58" s="73" t="s">
        <v>11</v>
      </c>
      <c r="I58" s="276">
        <v>46.51363636363633</v>
      </c>
      <c r="J58" s="277">
        <v>-12.300000000000068</v>
      </c>
      <c r="K58" s="276">
        <v>4.6513636363636333E-2</v>
      </c>
      <c r="L58" s="278">
        <v>-1.2300000000000068E-2</v>
      </c>
      <c r="M58" s="276">
        <v>4.6395454545454552E-2</v>
      </c>
      <c r="N58" s="277">
        <v>9.9299999999999999E-2</v>
      </c>
      <c r="O58" s="278">
        <v>6.9909090909090921E-2</v>
      </c>
      <c r="P58" s="278">
        <v>0.16199999999999998</v>
      </c>
      <c r="Q58" s="7"/>
    </row>
    <row r="59" spans="1:17" ht="204.75" x14ac:dyDescent="0.25">
      <c r="A59" s="10"/>
      <c r="B59" s="43" t="s">
        <v>27</v>
      </c>
      <c r="C59" s="28" t="s">
        <v>272</v>
      </c>
      <c r="D59" s="28" t="s">
        <v>23</v>
      </c>
      <c r="E59" s="29" t="s">
        <v>199</v>
      </c>
      <c r="F59" s="29" t="s">
        <v>194</v>
      </c>
      <c r="G59" s="30" t="s">
        <v>27</v>
      </c>
      <c r="H59" s="31" t="s">
        <v>12</v>
      </c>
      <c r="I59" s="272">
        <v>35.450000000000003</v>
      </c>
      <c r="J59" s="273">
        <v>18.600000000000001</v>
      </c>
      <c r="K59" s="272">
        <v>0.13010150000000001</v>
      </c>
      <c r="L59" s="274">
        <v>6.8262000000000003E-2</v>
      </c>
      <c r="M59" s="272" t="s">
        <v>258</v>
      </c>
      <c r="N59" s="273" t="s">
        <v>258</v>
      </c>
      <c r="O59" s="274" t="s">
        <v>258</v>
      </c>
      <c r="P59" s="274" t="s">
        <v>258</v>
      </c>
      <c r="Q59" s="7"/>
    </row>
    <row r="60" spans="1:17" ht="409.5" x14ac:dyDescent="0.25">
      <c r="A60" s="10"/>
      <c r="B60" s="43" t="s">
        <v>27</v>
      </c>
      <c r="C60" s="28" t="s">
        <v>27</v>
      </c>
      <c r="D60" s="28" t="s">
        <v>27</v>
      </c>
      <c r="E60" s="29" t="s">
        <v>201</v>
      </c>
      <c r="F60" s="29" t="s">
        <v>195</v>
      </c>
      <c r="G60" s="30" t="s">
        <v>257</v>
      </c>
      <c r="H60" s="31" t="s">
        <v>12</v>
      </c>
      <c r="I60" s="272">
        <v>-66.5</v>
      </c>
      <c r="J60" s="274">
        <v>-66.5</v>
      </c>
      <c r="K60" s="272">
        <v>-0.24405500000000002</v>
      </c>
      <c r="L60" s="274">
        <v>-0.24405500000000002</v>
      </c>
      <c r="M60" s="272">
        <v>0.3741565</v>
      </c>
      <c r="N60" s="274">
        <v>0.31231700000000001</v>
      </c>
      <c r="O60" s="272">
        <v>0.3741565</v>
      </c>
      <c r="P60" s="274">
        <v>0.31231700000000001</v>
      </c>
      <c r="Q60" s="7"/>
    </row>
    <row r="61" spans="1:17" ht="110.25" x14ac:dyDescent="0.25">
      <c r="A61" s="10"/>
      <c r="B61" s="49" t="s">
        <v>27</v>
      </c>
      <c r="C61" s="34" t="s">
        <v>15</v>
      </c>
      <c r="D61" s="34" t="s">
        <v>20</v>
      </c>
      <c r="E61" s="35" t="s">
        <v>199</v>
      </c>
      <c r="F61" s="35" t="s">
        <v>182</v>
      </c>
      <c r="G61" s="36" t="s">
        <v>27</v>
      </c>
      <c r="H61" s="73" t="s">
        <v>8</v>
      </c>
      <c r="I61" s="276">
        <v>-3.9230308751136717E-3</v>
      </c>
      <c r="J61" s="277">
        <v>-3.9230308751136717E-3</v>
      </c>
      <c r="K61" s="276">
        <v>-3.9230308751136717E-3</v>
      </c>
      <c r="L61" s="278">
        <v>-3.9230308751136717E-3</v>
      </c>
      <c r="M61" s="276" t="s">
        <v>258</v>
      </c>
      <c r="N61" s="277" t="s">
        <v>258</v>
      </c>
      <c r="O61" s="278" t="s">
        <v>258</v>
      </c>
      <c r="P61" s="278"/>
      <c r="Q61" s="7"/>
    </row>
    <row r="62" spans="1:17" ht="94.5" x14ac:dyDescent="0.25">
      <c r="A62" s="10"/>
      <c r="B62" s="51" t="s">
        <v>27</v>
      </c>
      <c r="C62" s="41" t="s">
        <v>27</v>
      </c>
      <c r="D62" s="41" t="s">
        <v>27</v>
      </c>
      <c r="E62" s="42" t="s">
        <v>201</v>
      </c>
      <c r="F62" s="42" t="s">
        <v>183</v>
      </c>
      <c r="G62" s="296" t="s">
        <v>257</v>
      </c>
      <c r="H62" s="297" t="s">
        <v>8</v>
      </c>
      <c r="I62" s="283">
        <v>-0.15495971956699003</v>
      </c>
      <c r="J62" s="284">
        <v>-0.15495971956699003</v>
      </c>
      <c r="K62" s="283">
        <v>-0.15495971956699003</v>
      </c>
      <c r="L62" s="286">
        <v>-0.15495971956699003</v>
      </c>
      <c r="M62" s="283">
        <v>0.15103668869187636</v>
      </c>
      <c r="N62" s="284">
        <v>0.15103668869187636</v>
      </c>
      <c r="O62" s="286">
        <v>0.15103668869187636</v>
      </c>
      <c r="P62" s="286">
        <v>0.15103668869187636</v>
      </c>
      <c r="Q62" s="7"/>
    </row>
    <row r="63" spans="1:17" ht="157.5" x14ac:dyDescent="0.25">
      <c r="A63" s="10"/>
      <c r="B63" s="43" t="s">
        <v>5</v>
      </c>
      <c r="C63" s="28" t="s">
        <v>16</v>
      </c>
      <c r="D63" s="28" t="s">
        <v>24</v>
      </c>
      <c r="E63" s="29" t="s">
        <v>199</v>
      </c>
      <c r="F63" s="29" t="s">
        <v>196</v>
      </c>
      <c r="G63" s="30" t="s">
        <v>27</v>
      </c>
      <c r="H63" s="31" t="s">
        <v>8</v>
      </c>
      <c r="I63" s="272">
        <v>0.40300000000000002</v>
      </c>
      <c r="J63" s="273">
        <v>0.58199999999999996</v>
      </c>
      <c r="K63" s="272">
        <v>0.40300000000000002</v>
      </c>
      <c r="L63" s="274">
        <v>0.58199999999999996</v>
      </c>
      <c r="M63" s="272" t="s">
        <v>258</v>
      </c>
      <c r="N63" s="273" t="s">
        <v>258</v>
      </c>
      <c r="O63" s="274" t="s">
        <v>258</v>
      </c>
      <c r="P63" s="274" t="s">
        <v>258</v>
      </c>
      <c r="Q63" s="7"/>
    </row>
    <row r="64" spans="1:17" ht="47.25" x14ac:dyDescent="0.25">
      <c r="A64" s="10"/>
      <c r="B64" s="43" t="s">
        <v>27</v>
      </c>
      <c r="C64" s="28" t="s">
        <v>27</v>
      </c>
      <c r="D64" s="28" t="s">
        <v>27</v>
      </c>
      <c r="E64" s="29" t="s">
        <v>201</v>
      </c>
      <c r="F64" s="29" t="s">
        <v>197</v>
      </c>
      <c r="G64" s="30" t="s">
        <v>257</v>
      </c>
      <c r="H64" s="31" t="s">
        <v>8</v>
      </c>
      <c r="I64" s="272" t="s">
        <v>249</v>
      </c>
      <c r="J64" s="273">
        <v>0.14199999999999996</v>
      </c>
      <c r="K64" s="272" t="s">
        <v>249</v>
      </c>
      <c r="L64" s="274">
        <v>0.14199999999999996</v>
      </c>
      <c r="M64" s="272" t="s">
        <v>249</v>
      </c>
      <c r="N64" s="273">
        <v>0.44</v>
      </c>
      <c r="O64" s="274" t="s">
        <v>249</v>
      </c>
      <c r="P64" s="274">
        <v>0.44</v>
      </c>
      <c r="Q64" s="7"/>
    </row>
    <row r="65" spans="1:17" ht="110.25" x14ac:dyDescent="0.25">
      <c r="A65" s="10"/>
      <c r="B65" s="49" t="s">
        <v>27</v>
      </c>
      <c r="C65" s="34" t="s">
        <v>15</v>
      </c>
      <c r="D65" s="34" t="s">
        <v>20</v>
      </c>
      <c r="E65" s="35" t="s">
        <v>199</v>
      </c>
      <c r="F65" s="35" t="s">
        <v>182</v>
      </c>
      <c r="G65" s="36" t="s">
        <v>27</v>
      </c>
      <c r="H65" s="73" t="s">
        <v>8</v>
      </c>
      <c r="I65" s="276">
        <v>0.31497993119266066</v>
      </c>
      <c r="J65" s="277">
        <v>0.94493979357798197</v>
      </c>
      <c r="K65" s="276">
        <v>0.31497993119266066</v>
      </c>
      <c r="L65" s="278">
        <v>0.94493979357798197</v>
      </c>
      <c r="M65" s="276" t="s">
        <v>258</v>
      </c>
      <c r="N65" s="277" t="s">
        <v>258</v>
      </c>
      <c r="O65" s="278" t="s">
        <v>258</v>
      </c>
      <c r="P65" s="278" t="s">
        <v>258</v>
      </c>
      <c r="Q65" s="7"/>
    </row>
    <row r="66" spans="1:17" ht="94.5" x14ac:dyDescent="0.25">
      <c r="A66" s="10"/>
      <c r="B66" s="49" t="s">
        <v>27</v>
      </c>
      <c r="C66" s="34" t="s">
        <v>27</v>
      </c>
      <c r="D66" s="34" t="s">
        <v>27</v>
      </c>
      <c r="E66" s="35" t="s">
        <v>201</v>
      </c>
      <c r="F66" s="35" t="s">
        <v>183</v>
      </c>
      <c r="G66" s="36" t="s">
        <v>257</v>
      </c>
      <c r="H66" s="73" t="s">
        <v>8</v>
      </c>
      <c r="I66" s="276">
        <v>-1.6198967889908258</v>
      </c>
      <c r="J66" s="277">
        <v>-4.8596903669724778</v>
      </c>
      <c r="K66" s="276">
        <v>-1.6198967889908258</v>
      </c>
      <c r="L66" s="278">
        <v>-4.8596903669724778</v>
      </c>
      <c r="M66" s="276">
        <v>1.9348767201834864</v>
      </c>
      <c r="N66" s="277">
        <v>5.8046301605504595</v>
      </c>
      <c r="O66" s="278">
        <v>1.9348767201834864</v>
      </c>
      <c r="P66" s="278">
        <v>5.8046301605504595</v>
      </c>
      <c r="Q66" s="7"/>
    </row>
    <row r="67" spans="1:17" ht="21" x14ac:dyDescent="0.25">
      <c r="A67" s="10"/>
      <c r="B67" s="48" t="s">
        <v>27</v>
      </c>
      <c r="C67" s="241" t="s">
        <v>27</v>
      </c>
      <c r="D67" s="241" t="s">
        <v>27</v>
      </c>
      <c r="E67" s="7"/>
      <c r="F67" s="7"/>
      <c r="G67" s="7"/>
      <c r="H67" s="7"/>
      <c r="I67" s="7"/>
      <c r="J67" s="7"/>
      <c r="K67" s="7"/>
      <c r="L67" s="7"/>
      <c r="M67" s="7"/>
      <c r="N67" s="7"/>
      <c r="O67" s="7"/>
      <c r="P67" s="7"/>
      <c r="Q67" s="7"/>
    </row>
  </sheetData>
  <hyperlinks>
    <hyperlink ref="D16"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
  <sheetViews>
    <sheetView zoomScale="60" zoomScaleNormal="60" workbookViewId="0">
      <selection activeCell="E3" sqref="E3"/>
    </sheetView>
  </sheetViews>
  <sheetFormatPr defaultRowHeight="15" x14ac:dyDescent="0.25"/>
  <cols>
    <col min="1" max="1" width="22.28515625" style="192" bestFit="1" customWidth="1"/>
    <col min="2" max="2" width="18.42578125" style="192" customWidth="1"/>
    <col min="3" max="3" width="18.42578125" style="192" bestFit="1" customWidth="1"/>
    <col min="4" max="4" width="25.140625" style="192" bestFit="1" customWidth="1"/>
    <col min="5" max="5" width="24.7109375" style="192" bestFit="1" customWidth="1"/>
    <col min="6" max="6" width="19" style="192" bestFit="1" customWidth="1"/>
    <col min="7" max="7" width="25.140625" style="192" bestFit="1" customWidth="1"/>
    <col min="8" max="8" width="43.7109375" style="192" customWidth="1"/>
    <col min="9" max="9" width="40.85546875" style="192" customWidth="1"/>
    <col min="10" max="10" width="25.5703125" style="192" customWidth="1"/>
    <col min="11" max="11" width="16.28515625" style="192" bestFit="1" customWidth="1"/>
    <col min="12" max="12" width="7.5703125" style="192" bestFit="1" customWidth="1"/>
    <col min="13" max="13" width="8.28515625" style="192" bestFit="1" customWidth="1"/>
    <col min="14" max="14" width="9.140625" style="192"/>
    <col min="15" max="15" width="6.85546875" style="192" bestFit="1" customWidth="1"/>
    <col min="16" max="16" width="15" style="192" customWidth="1"/>
    <col min="17" max="17" width="94.140625" style="192" customWidth="1"/>
    <col min="18" max="18" width="83.42578125" style="192" bestFit="1" customWidth="1"/>
    <col min="19" max="16384" width="9.140625" style="192"/>
  </cols>
  <sheetData>
    <row r="1" spans="1:19" s="260" customFormat="1" ht="99" thickBot="1" x14ac:dyDescent="0.3">
      <c r="A1" s="260" t="s">
        <v>13</v>
      </c>
      <c r="B1" s="260" t="s">
        <v>558</v>
      </c>
      <c r="C1" s="260" t="s">
        <v>0</v>
      </c>
      <c r="D1" s="260" t="s">
        <v>3</v>
      </c>
      <c r="E1" s="260" t="s">
        <v>69</v>
      </c>
      <c r="F1" s="260" t="s">
        <v>512</v>
      </c>
      <c r="G1" s="260" t="s">
        <v>559</v>
      </c>
      <c r="H1" s="260" t="s">
        <v>70</v>
      </c>
      <c r="I1" s="260" t="s">
        <v>71</v>
      </c>
      <c r="J1" s="261" t="s">
        <v>560</v>
      </c>
      <c r="K1" s="260" t="s">
        <v>560</v>
      </c>
      <c r="L1" s="260" t="s">
        <v>561</v>
      </c>
      <c r="M1" s="260">
        <v>2020</v>
      </c>
      <c r="N1" s="260">
        <v>2030</v>
      </c>
      <c r="P1" s="260" t="s">
        <v>562</v>
      </c>
      <c r="Q1" s="260" t="s">
        <v>563</v>
      </c>
      <c r="R1" s="262" t="s">
        <v>564</v>
      </c>
      <c r="S1" s="263" t="s">
        <v>73</v>
      </c>
    </row>
    <row r="2" spans="1:19" s="116" customFormat="1" ht="116.25" customHeight="1" x14ac:dyDescent="0.25">
      <c r="A2" s="116" t="s">
        <v>565</v>
      </c>
      <c r="B2" s="116" t="s">
        <v>592</v>
      </c>
      <c r="C2" s="264" t="s">
        <v>593</v>
      </c>
      <c r="D2" s="265" t="s">
        <v>566</v>
      </c>
      <c r="E2" s="116" t="s">
        <v>567</v>
      </c>
      <c r="F2" s="116" t="s">
        <v>568</v>
      </c>
      <c r="G2" s="116" t="s">
        <v>569</v>
      </c>
      <c r="M2" s="200"/>
      <c r="Q2" s="200"/>
      <c r="R2" s="200"/>
      <c r="S2" s="200" t="s">
        <v>570</v>
      </c>
    </row>
    <row r="3" spans="1:19" s="116" customFormat="1" ht="105" x14ac:dyDescent="0.25">
      <c r="G3" s="116" t="s">
        <v>571</v>
      </c>
      <c r="H3" s="116" t="s">
        <v>83</v>
      </c>
      <c r="I3" s="116" t="s">
        <v>572</v>
      </c>
      <c r="L3" s="116" t="s">
        <v>573</v>
      </c>
      <c r="M3" s="116">
        <v>485</v>
      </c>
      <c r="N3" s="116">
        <v>512</v>
      </c>
      <c r="P3" s="116">
        <v>0.48499999999999999</v>
      </c>
      <c r="Q3" s="116">
        <v>0.51200000000000001</v>
      </c>
      <c r="R3" s="116">
        <v>1</v>
      </c>
      <c r="S3" s="1"/>
    </row>
    <row r="4" spans="1:19" s="116" customFormat="1" ht="60" x14ac:dyDescent="0.25">
      <c r="G4" s="116" t="s">
        <v>574</v>
      </c>
      <c r="H4" s="116" t="s">
        <v>575</v>
      </c>
      <c r="I4" s="116" t="s">
        <v>576</v>
      </c>
      <c r="L4" s="266" t="s">
        <v>573</v>
      </c>
      <c r="M4" s="116">
        <v>27</v>
      </c>
      <c r="N4" s="116">
        <v>35</v>
      </c>
      <c r="P4" s="116">
        <v>2.7E-2</v>
      </c>
      <c r="Q4" s="116">
        <v>3.5000000000000003E-2</v>
      </c>
      <c r="S4" s="1"/>
    </row>
    <row r="5" spans="1:19" s="267" customFormat="1" ht="165" x14ac:dyDescent="0.25">
      <c r="A5" s="267" t="s">
        <v>60</v>
      </c>
      <c r="B5" s="107" t="s">
        <v>577</v>
      </c>
      <c r="C5" s="176" t="s">
        <v>578</v>
      </c>
      <c r="D5" s="268" t="s">
        <v>579</v>
      </c>
      <c r="E5" s="267" t="s">
        <v>580</v>
      </c>
      <c r="F5" s="78" t="s">
        <v>581</v>
      </c>
      <c r="G5" s="267" t="s">
        <v>582</v>
      </c>
      <c r="H5" s="267" t="s">
        <v>583</v>
      </c>
      <c r="I5" s="78" t="s">
        <v>584</v>
      </c>
      <c r="L5" s="267" t="s">
        <v>12</v>
      </c>
      <c r="M5" s="269">
        <v>9000</v>
      </c>
      <c r="N5" s="269">
        <v>10000</v>
      </c>
      <c r="P5" s="164">
        <v>33.03</v>
      </c>
      <c r="Q5" s="164">
        <v>36.700000000000003</v>
      </c>
      <c r="R5" s="270">
        <v>3</v>
      </c>
      <c r="S5" s="271" t="s">
        <v>585</v>
      </c>
    </row>
    <row r="6" spans="1:19" s="267" customFormat="1" x14ac:dyDescent="0.25">
      <c r="G6" s="267" t="s">
        <v>586</v>
      </c>
      <c r="L6" s="267" t="s">
        <v>12</v>
      </c>
      <c r="M6" s="269">
        <v>10000</v>
      </c>
      <c r="N6" s="269">
        <v>11500</v>
      </c>
      <c r="P6" s="164">
        <v>36.700000000000003</v>
      </c>
      <c r="Q6" s="164">
        <v>42.204999999999998</v>
      </c>
      <c r="R6" s="270"/>
      <c r="S6" s="271"/>
    </row>
    <row r="7" spans="1:19" s="267" customFormat="1" x14ac:dyDescent="0.25">
      <c r="G7" s="267" t="s">
        <v>587</v>
      </c>
      <c r="L7" s="267" t="s">
        <v>12</v>
      </c>
      <c r="M7" s="269">
        <v>7000</v>
      </c>
      <c r="N7" s="269">
        <v>7400</v>
      </c>
      <c r="P7" s="164">
        <v>25.69</v>
      </c>
      <c r="Q7" s="164">
        <v>27.158000000000001</v>
      </c>
      <c r="R7" s="270"/>
      <c r="S7" s="271"/>
    </row>
  </sheetData>
  <hyperlinks>
    <hyperlink ref="D2" r:id="rId1"/>
    <hyperlink ref="D5" r:id="rId2"/>
  </hyperlinks>
  <pageMargins left="0.7" right="0.7" top="0.75" bottom="0.75" header="0.3" footer="0.3"/>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42"/>
  <sheetViews>
    <sheetView zoomScale="80" zoomScaleNormal="80" workbookViewId="0">
      <selection activeCell="L21" sqref="L21"/>
    </sheetView>
  </sheetViews>
  <sheetFormatPr defaultRowHeight="15" x14ac:dyDescent="0.25"/>
  <cols>
    <col min="1" max="2" width="9.140625" style="192"/>
    <col min="3" max="3" width="20.28515625" style="192" customWidth="1"/>
    <col min="4" max="4" width="25.42578125" style="192" customWidth="1"/>
    <col min="5" max="5" width="20.85546875" style="192" customWidth="1"/>
    <col min="6" max="6" width="21.28515625" style="192" customWidth="1"/>
    <col min="7" max="7" width="19.85546875" style="192" customWidth="1"/>
    <col min="8" max="8" width="20.5703125" style="192" customWidth="1"/>
    <col min="9" max="9" width="12.7109375" style="192" customWidth="1"/>
    <col min="10" max="10" width="24.85546875" style="192" customWidth="1"/>
    <col min="11" max="13" width="13.7109375" style="192" bestFit="1" customWidth="1"/>
    <col min="14" max="14" width="15.5703125" style="192" bestFit="1" customWidth="1"/>
    <col min="15" max="15" width="14.5703125" style="192" bestFit="1" customWidth="1"/>
    <col min="16" max="16" width="12.42578125" style="192" bestFit="1" customWidth="1"/>
    <col min="17" max="17" width="10.85546875" style="192" bestFit="1" customWidth="1"/>
    <col min="18" max="18" width="12" style="192" bestFit="1" customWidth="1"/>
    <col min="19" max="19" width="13.42578125" style="192" bestFit="1" customWidth="1"/>
    <col min="20" max="20" width="15.85546875" style="192" customWidth="1"/>
    <col min="21" max="21" width="25.28515625" style="192" bestFit="1" customWidth="1"/>
    <col min="22" max="22" width="12.28515625" style="192" bestFit="1" customWidth="1"/>
    <col min="23" max="23" width="13.42578125" style="192" bestFit="1" customWidth="1"/>
    <col min="24" max="24" width="18" style="192" bestFit="1" customWidth="1"/>
    <col min="25" max="25" width="13.7109375" style="192" bestFit="1" customWidth="1"/>
    <col min="26" max="26" width="17" style="192" bestFit="1" customWidth="1"/>
    <col min="27" max="27" width="12.28515625" style="192" bestFit="1" customWidth="1"/>
    <col min="28" max="28" width="11.5703125" style="192" bestFit="1" customWidth="1"/>
    <col min="29" max="29" width="9.85546875" style="192" bestFit="1" customWidth="1"/>
    <col min="30" max="30" width="11" style="192" bestFit="1" customWidth="1"/>
    <col min="31" max="31" width="17" style="192" bestFit="1" customWidth="1"/>
    <col min="32" max="32" width="9.140625" style="192"/>
    <col min="33" max="33" width="12" style="192" bestFit="1" customWidth="1"/>
    <col min="34" max="16384" width="9.140625" style="192"/>
  </cols>
  <sheetData>
    <row r="1" spans="3:9" x14ac:dyDescent="0.25">
      <c r="C1" s="192" t="s">
        <v>316</v>
      </c>
      <c r="D1" s="192" t="s">
        <v>317</v>
      </c>
    </row>
    <row r="2" spans="3:9" x14ac:dyDescent="0.25">
      <c r="C2" s="192" t="s">
        <v>318</v>
      </c>
      <c r="D2" s="192" t="s">
        <v>319</v>
      </c>
    </row>
    <row r="5" spans="3:9" x14ac:dyDescent="0.25">
      <c r="C5" s="192" t="s">
        <v>77</v>
      </c>
    </row>
    <row r="6" spans="3:9" ht="74.25" customHeight="1" x14ac:dyDescent="0.25">
      <c r="D6" s="193" t="s">
        <v>320</v>
      </c>
      <c r="E6" s="194" t="s">
        <v>321</v>
      </c>
      <c r="F6" s="194" t="s">
        <v>322</v>
      </c>
      <c r="G6" s="194" t="s">
        <v>323</v>
      </c>
      <c r="H6" s="194" t="s">
        <v>324</v>
      </c>
      <c r="I6" s="193" t="s">
        <v>325</v>
      </c>
    </row>
    <row r="7" spans="3:9" x14ac:dyDescent="0.25">
      <c r="C7" s="192" t="s">
        <v>326</v>
      </c>
      <c r="D7" s="192">
        <v>0</v>
      </c>
      <c r="E7" s="192">
        <v>-0.01</v>
      </c>
      <c r="F7" s="192">
        <v>0.02</v>
      </c>
      <c r="G7" s="192">
        <v>-0.02</v>
      </c>
      <c r="H7" s="192">
        <v>-0.02</v>
      </c>
      <c r="I7" s="192">
        <v>0.01</v>
      </c>
    </row>
    <row r="8" spans="3:9" x14ac:dyDescent="0.25">
      <c r="C8" s="192" t="s">
        <v>327</v>
      </c>
      <c r="D8" s="192">
        <v>0.56000000000000005</v>
      </c>
      <c r="E8" s="192">
        <v>0.19</v>
      </c>
      <c r="F8" s="192">
        <v>-0.8</v>
      </c>
      <c r="G8" s="192">
        <v>0.32</v>
      </c>
      <c r="H8" s="192">
        <v>-0.04</v>
      </c>
      <c r="I8" s="192">
        <v>-0.82</v>
      </c>
    </row>
    <row r="9" spans="3:9" x14ac:dyDescent="0.25">
      <c r="C9" s="192" t="s">
        <v>328</v>
      </c>
      <c r="D9" s="192">
        <v>-0.37</v>
      </c>
      <c r="E9" s="192">
        <v>-0.49</v>
      </c>
      <c r="F9" s="192">
        <v>-0.61</v>
      </c>
      <c r="G9" s="192">
        <v>-0.81</v>
      </c>
      <c r="H9" s="192">
        <v>-0.89</v>
      </c>
      <c r="I9" s="192">
        <v>-1.01</v>
      </c>
    </row>
    <row r="10" spans="3:9" x14ac:dyDescent="0.25">
      <c r="C10" s="192" t="s">
        <v>329</v>
      </c>
      <c r="D10" s="192">
        <v>-0.02</v>
      </c>
      <c r="E10" s="192">
        <v>-0.48</v>
      </c>
      <c r="F10" s="192">
        <v>-0.72</v>
      </c>
      <c r="G10" s="192">
        <v>-0.05</v>
      </c>
      <c r="H10" s="192">
        <v>-0.48</v>
      </c>
      <c r="I10" s="192">
        <v>-0.79</v>
      </c>
    </row>
    <row r="11" spans="3:9" x14ac:dyDescent="0.25">
      <c r="C11" s="192" t="s">
        <v>330</v>
      </c>
      <c r="D11" s="192">
        <v>7.0000000000000007E-2</v>
      </c>
      <c r="E11" s="192">
        <v>0</v>
      </c>
      <c r="F11" s="192">
        <v>-0.04</v>
      </c>
      <c r="G11" s="192">
        <v>-0.02</v>
      </c>
      <c r="H11" s="192">
        <v>-0.08</v>
      </c>
      <c r="I11" s="192">
        <v>-0.11</v>
      </c>
    </row>
    <row r="12" spans="3:9" x14ac:dyDescent="0.25">
      <c r="C12" s="192" t="s">
        <v>331</v>
      </c>
      <c r="D12" s="192">
        <v>7.0000000000000007E-2</v>
      </c>
      <c r="E12" s="192">
        <v>-0.09</v>
      </c>
      <c r="F12" s="192">
        <v>-0.31</v>
      </c>
      <c r="G12" s="192">
        <v>0.02</v>
      </c>
      <c r="H12" s="192">
        <v>-0.17</v>
      </c>
      <c r="I12" s="192">
        <v>-0.36</v>
      </c>
    </row>
    <row r="13" spans="3:9" x14ac:dyDescent="0.25">
      <c r="C13" s="192" t="s">
        <v>332</v>
      </c>
      <c r="D13" s="192">
        <v>-0.03</v>
      </c>
      <c r="E13" s="192">
        <v>-0.08</v>
      </c>
      <c r="F13" s="192">
        <v>-7.0000000000000007E-2</v>
      </c>
      <c r="G13" s="192">
        <v>-0.12</v>
      </c>
      <c r="H13" s="192">
        <v>-0.17</v>
      </c>
      <c r="I13" s="192">
        <v>-0.19</v>
      </c>
    </row>
    <row r="14" spans="3:9" x14ac:dyDescent="0.25">
      <c r="C14" s="192" t="s">
        <v>333</v>
      </c>
      <c r="D14" s="192">
        <v>1.21</v>
      </c>
      <c r="E14" s="192">
        <v>0.78</v>
      </c>
      <c r="F14" s="192">
        <v>0.61</v>
      </c>
      <c r="G14" s="192">
        <v>0.06</v>
      </c>
      <c r="H14" s="192">
        <v>-0.15</v>
      </c>
      <c r="I14" s="192">
        <v>-0.23</v>
      </c>
    </row>
    <row r="15" spans="3:9" x14ac:dyDescent="0.25">
      <c r="C15" s="192" t="s">
        <v>334</v>
      </c>
      <c r="D15" s="192">
        <v>2.0299999999999998</v>
      </c>
      <c r="E15" s="192">
        <v>1.67</v>
      </c>
      <c r="F15" s="192">
        <v>1.78</v>
      </c>
      <c r="G15" s="192">
        <v>1.06</v>
      </c>
      <c r="H15" s="192">
        <v>0.45</v>
      </c>
      <c r="I15" s="192">
        <v>0.7</v>
      </c>
    </row>
    <row r="16" spans="3:9" x14ac:dyDescent="0.25">
      <c r="C16" s="192" t="s">
        <v>335</v>
      </c>
      <c r="D16" s="192">
        <v>0.04</v>
      </c>
      <c r="E16" s="192">
        <v>-0.15</v>
      </c>
      <c r="F16" s="192">
        <v>-0.47</v>
      </c>
      <c r="G16" s="192">
        <v>0</v>
      </c>
      <c r="H16" s="192">
        <v>-0.24</v>
      </c>
      <c r="I16" s="192">
        <v>-0.51</v>
      </c>
    </row>
    <row r="17" spans="2:9" x14ac:dyDescent="0.25">
      <c r="C17" s="192" t="s">
        <v>336</v>
      </c>
      <c r="D17" s="192">
        <v>0.17</v>
      </c>
      <c r="E17" s="192">
        <v>0.08</v>
      </c>
      <c r="F17" s="192">
        <v>7.0000000000000007E-2</v>
      </c>
      <c r="G17" s="192">
        <v>0.04</v>
      </c>
      <c r="H17" s="192">
        <v>0</v>
      </c>
      <c r="I17" s="192">
        <v>0</v>
      </c>
    </row>
    <row r="18" spans="2:9" x14ac:dyDescent="0.25">
      <c r="C18" s="192" t="s">
        <v>337</v>
      </c>
      <c r="D18" s="192">
        <v>3.39</v>
      </c>
      <c r="E18" s="192">
        <v>2.2599999999999998</v>
      </c>
      <c r="F18" s="192">
        <v>1.45</v>
      </c>
      <c r="G18" s="192">
        <v>2.27</v>
      </c>
      <c r="H18" s="192">
        <v>1.31</v>
      </c>
      <c r="I18" s="192">
        <v>0.73</v>
      </c>
    </row>
    <row r="19" spans="2:9" x14ac:dyDescent="0.25">
      <c r="D19" s="192">
        <f t="shared" ref="D19:I19" si="0">SUM(D7:D18)</f>
        <v>7.1199999999999992</v>
      </c>
      <c r="E19" s="192">
        <f t="shared" si="0"/>
        <v>3.6799999999999997</v>
      </c>
      <c r="F19" s="192">
        <f t="shared" si="0"/>
        <v>0.9099999999999997</v>
      </c>
      <c r="G19" s="192">
        <f t="shared" si="0"/>
        <v>2.75</v>
      </c>
      <c r="H19" s="192">
        <f t="shared" si="0"/>
        <v>-0.47999999999999976</v>
      </c>
      <c r="I19" s="192">
        <f t="shared" si="0"/>
        <v>-2.5799999999999996</v>
      </c>
    </row>
    <row r="25" spans="2:9" s="195" customFormat="1" x14ac:dyDescent="0.25">
      <c r="C25" s="195" t="s">
        <v>338</v>
      </c>
      <c r="D25" s="195" t="s">
        <v>5</v>
      </c>
      <c r="E25" s="195" t="s">
        <v>339</v>
      </c>
      <c r="F25" s="195" t="s">
        <v>218</v>
      </c>
    </row>
    <row r="26" spans="2:9" s="196" customFormat="1" x14ac:dyDescent="0.25">
      <c r="B26" s="196" t="s">
        <v>340</v>
      </c>
      <c r="C26" s="196" t="s">
        <v>341</v>
      </c>
      <c r="D26" s="196">
        <v>313.89999999999998</v>
      </c>
      <c r="E26" s="196">
        <v>34.9</v>
      </c>
      <c r="F26" s="196">
        <f>SUM(D26:E26)</f>
        <v>348.79999999999995</v>
      </c>
    </row>
    <row r="27" spans="2:9" s="196" customFormat="1" x14ac:dyDescent="0.25">
      <c r="C27" s="196" t="s">
        <v>342</v>
      </c>
      <c r="D27" s="196">
        <f>D26/$F$26</f>
        <v>0.8999426605504588</v>
      </c>
      <c r="E27" s="196">
        <f>E26/$F$26</f>
        <v>0.10005733944954129</v>
      </c>
    </row>
    <row r="28" spans="2:9" s="196" customFormat="1" x14ac:dyDescent="0.25">
      <c r="C28" s="197" t="s">
        <v>343</v>
      </c>
      <c r="D28" s="197">
        <f>D27*D12</f>
        <v>6.2995986238532128E-2</v>
      </c>
    </row>
    <row r="29" spans="2:9" s="196" customFormat="1" x14ac:dyDescent="0.25">
      <c r="C29" s="197" t="s">
        <v>344</v>
      </c>
      <c r="D29" s="197">
        <f>D27*I12</f>
        <v>-0.32397935779816517</v>
      </c>
    </row>
    <row r="30" spans="2:9" s="196" customFormat="1" x14ac:dyDescent="0.25">
      <c r="C30" s="197"/>
      <c r="D30" s="197"/>
    </row>
    <row r="31" spans="2:9" s="198" customFormat="1" x14ac:dyDescent="0.25">
      <c r="C31" s="199"/>
      <c r="D31" s="199"/>
    </row>
    <row r="32" spans="2:9" x14ac:dyDescent="0.25">
      <c r="C32" s="200"/>
      <c r="D32" s="200"/>
    </row>
    <row r="34" spans="2:33" s="195" customFormat="1" x14ac:dyDescent="0.25">
      <c r="B34" s="195" t="s">
        <v>345</v>
      </c>
      <c r="C34" s="195" t="s">
        <v>327</v>
      </c>
      <c r="D34" s="195" t="s">
        <v>60</v>
      </c>
      <c r="E34" s="195" t="s">
        <v>346</v>
      </c>
      <c r="F34" s="195" t="s">
        <v>347</v>
      </c>
      <c r="G34" s="195" t="s">
        <v>348</v>
      </c>
      <c r="H34" s="195" t="s">
        <v>349</v>
      </c>
      <c r="I34" s="195" t="s">
        <v>350</v>
      </c>
      <c r="J34" s="195" t="s">
        <v>351</v>
      </c>
      <c r="K34" s="195" t="s">
        <v>352</v>
      </c>
      <c r="L34" s="195" t="s">
        <v>218</v>
      </c>
    </row>
    <row r="35" spans="2:33" s="196" customFormat="1" x14ac:dyDescent="0.2">
      <c r="C35" s="196" t="s">
        <v>341</v>
      </c>
      <c r="D35" s="201">
        <v>1339724852</v>
      </c>
      <c r="E35" s="201">
        <v>7061200</v>
      </c>
      <c r="F35" s="201">
        <v>127950000</v>
      </c>
      <c r="G35" s="201">
        <v>556800</v>
      </c>
      <c r="H35" s="201">
        <v>2809600</v>
      </c>
      <c r="I35" s="201">
        <v>24346000</v>
      </c>
      <c r="J35" s="201">
        <v>50219669</v>
      </c>
      <c r="K35" s="201">
        <v>23174528</v>
      </c>
      <c r="L35" s="202">
        <f>SUM(D35:K35)</f>
        <v>1575842649</v>
      </c>
    </row>
    <row r="36" spans="2:33" s="196" customFormat="1" x14ac:dyDescent="0.25">
      <c r="C36" s="196" t="s">
        <v>342</v>
      </c>
      <c r="D36" s="196">
        <f>D35/$L$35</f>
        <v>0.85016410290086009</v>
      </c>
      <c r="E36" s="196">
        <f t="shared" ref="E36:K36" si="1">E35/$L$35</f>
        <v>4.4809042352552805E-3</v>
      </c>
      <c r="F36" s="196">
        <f t="shared" si="1"/>
        <v>8.1194654860492987E-2</v>
      </c>
      <c r="G36" s="196">
        <f t="shared" si="1"/>
        <v>3.5333477003769047E-4</v>
      </c>
      <c r="H36" s="196">
        <f t="shared" si="1"/>
        <v>1.7829191269717944E-3</v>
      </c>
      <c r="I36" s="196">
        <f t="shared" si="1"/>
        <v>1.5449512053408068E-2</v>
      </c>
      <c r="J36" s="196">
        <f t="shared" si="1"/>
        <v>3.1868454018469709E-2</v>
      </c>
      <c r="K36" s="196">
        <f t="shared" si="1"/>
        <v>1.4706118034504344E-2</v>
      </c>
      <c r="L36" s="202">
        <f>SUM(D36:K36)</f>
        <v>1</v>
      </c>
    </row>
    <row r="37" spans="2:33" s="196" customFormat="1" x14ac:dyDescent="0.25">
      <c r="C37" s="197" t="s">
        <v>353</v>
      </c>
      <c r="D37" s="197">
        <f>D36*D8</f>
        <v>0.47609189762448167</v>
      </c>
    </row>
    <row r="38" spans="2:33" s="198" customFormat="1" x14ac:dyDescent="0.25">
      <c r="C38" s="199" t="s">
        <v>354</v>
      </c>
      <c r="D38" s="199">
        <f>D36*I8</f>
        <v>-0.69713456437870525</v>
      </c>
    </row>
    <row r="40" spans="2:33" s="195" customFormat="1" x14ac:dyDescent="0.25">
      <c r="C40" s="195" t="s">
        <v>355</v>
      </c>
      <c r="D40" s="195" t="s">
        <v>356</v>
      </c>
      <c r="E40" s="195" t="s">
        <v>357</v>
      </c>
      <c r="F40" s="203" t="s">
        <v>61</v>
      </c>
      <c r="G40" s="195" t="s">
        <v>358</v>
      </c>
      <c r="H40" s="195" t="s">
        <v>359</v>
      </c>
      <c r="I40" s="195" t="s">
        <v>360</v>
      </c>
      <c r="J40" s="195" t="s">
        <v>361</v>
      </c>
      <c r="K40" s="195" t="s">
        <v>218</v>
      </c>
    </row>
    <row r="41" spans="2:33" s="196" customFormat="1" x14ac:dyDescent="0.25">
      <c r="B41" s="196" t="s">
        <v>362</v>
      </c>
      <c r="C41" s="196" t="s">
        <v>341</v>
      </c>
      <c r="D41" s="202">
        <v>152518015</v>
      </c>
      <c r="E41" s="202">
        <v>697000</v>
      </c>
      <c r="F41" s="204">
        <v>1210193422</v>
      </c>
      <c r="G41" s="202">
        <v>396334</v>
      </c>
      <c r="H41" s="202">
        <v>26620080</v>
      </c>
      <c r="I41" s="202">
        <v>180440000</v>
      </c>
      <c r="J41" s="202">
        <v>20277597</v>
      </c>
      <c r="K41" s="202">
        <f>SUM(D41:J41)</f>
        <v>1591142448</v>
      </c>
    </row>
    <row r="42" spans="2:33" s="196" customFormat="1" x14ac:dyDescent="0.25">
      <c r="C42" s="196" t="s">
        <v>342</v>
      </c>
      <c r="D42" s="196">
        <f t="shared" ref="D42:J42" si="2">D41/$K$41</f>
        <v>9.5854406493717029E-2</v>
      </c>
      <c r="E42" s="196">
        <f t="shared" si="2"/>
        <v>4.3805003183473612E-4</v>
      </c>
      <c r="F42" s="197">
        <f t="shared" si="2"/>
        <v>0.76058144481103052</v>
      </c>
      <c r="G42" s="196">
        <f t="shared" si="2"/>
        <v>2.4908769199022716E-4</v>
      </c>
      <c r="H42" s="196">
        <f t="shared" si="2"/>
        <v>1.6730167706518254E-2</v>
      </c>
      <c r="I42" s="196">
        <f t="shared" si="2"/>
        <v>0.11340279446809153</v>
      </c>
      <c r="J42" s="196">
        <f t="shared" si="2"/>
        <v>1.2744048796817719E-2</v>
      </c>
      <c r="K42" s="202">
        <f>SUM(D42:J42)</f>
        <v>1</v>
      </c>
    </row>
    <row r="43" spans="2:33" s="196" customFormat="1" x14ac:dyDescent="0.25">
      <c r="C43" s="197" t="s">
        <v>363</v>
      </c>
      <c r="D43" s="197">
        <f>F42*D15</f>
        <v>1.5439803329663917</v>
      </c>
    </row>
    <row r="44" spans="2:33" s="198" customFormat="1" x14ac:dyDescent="0.25">
      <c r="C44" s="199" t="s">
        <v>364</v>
      </c>
      <c r="D44" s="199">
        <f>F42*I15</f>
        <v>0.53240701136772128</v>
      </c>
    </row>
    <row r="46" spans="2:33" s="195" customFormat="1" x14ac:dyDescent="0.25">
      <c r="C46" s="195" t="s">
        <v>335</v>
      </c>
      <c r="D46" s="77" t="s">
        <v>365</v>
      </c>
      <c r="E46" s="195" t="s">
        <v>366</v>
      </c>
      <c r="F46" s="195" t="s">
        <v>367</v>
      </c>
      <c r="G46" s="195" t="s">
        <v>368</v>
      </c>
      <c r="H46" s="195" t="s">
        <v>369</v>
      </c>
      <c r="I46" s="195" t="s">
        <v>370</v>
      </c>
      <c r="J46" s="77" t="s">
        <v>371</v>
      </c>
      <c r="K46" s="195" t="s">
        <v>372</v>
      </c>
      <c r="L46" s="195" t="s">
        <v>373</v>
      </c>
      <c r="M46" s="195" t="s">
        <v>374</v>
      </c>
      <c r="N46" s="195" t="s">
        <v>375</v>
      </c>
      <c r="O46" s="195" t="s">
        <v>376</v>
      </c>
      <c r="P46" s="195" t="s">
        <v>377</v>
      </c>
      <c r="Q46" s="195" t="s">
        <v>378</v>
      </c>
      <c r="R46" s="195" t="s">
        <v>379</v>
      </c>
      <c r="S46" s="195" t="s">
        <v>380</v>
      </c>
      <c r="T46" s="195" t="s">
        <v>381</v>
      </c>
      <c r="U46" s="195" t="s">
        <v>382</v>
      </c>
      <c r="V46" s="195" t="s">
        <v>383</v>
      </c>
      <c r="W46" s="195" t="s">
        <v>384</v>
      </c>
      <c r="X46" s="195" t="s">
        <v>385</v>
      </c>
      <c r="Y46" s="195" t="s">
        <v>386</v>
      </c>
      <c r="Z46" s="195" t="s">
        <v>387</v>
      </c>
      <c r="AG46" s="195" t="s">
        <v>218</v>
      </c>
    </row>
    <row r="47" spans="2:33" s="196" customFormat="1" x14ac:dyDescent="0.25">
      <c r="C47" s="196" t="s">
        <v>341</v>
      </c>
      <c r="D47" s="202">
        <v>75000</v>
      </c>
      <c r="E47" s="205">
        <v>8477000</v>
      </c>
      <c r="F47" s="205">
        <v>11162000</v>
      </c>
      <c r="G47" s="205">
        <v>5612000</v>
      </c>
      <c r="H47" s="205">
        <v>5436000</v>
      </c>
      <c r="I47" s="202">
        <v>66475000</v>
      </c>
      <c r="J47" s="202">
        <v>80586000</v>
      </c>
      <c r="K47" s="202">
        <v>10758000</v>
      </c>
      <c r="L47" s="202">
        <v>324000</v>
      </c>
      <c r="M47" s="202">
        <v>4662000</v>
      </c>
      <c r="N47" s="202">
        <v>59862000</v>
      </c>
      <c r="O47" s="202">
        <v>37000</v>
      </c>
      <c r="P47" s="202">
        <v>542000</v>
      </c>
      <c r="Q47" s="202">
        <v>419000</v>
      </c>
      <c r="R47" s="202">
        <v>36000</v>
      </c>
      <c r="S47" s="202">
        <v>16795000</v>
      </c>
      <c r="T47" s="202">
        <v>5077000</v>
      </c>
      <c r="U47" s="206">
        <v>10609000</v>
      </c>
      <c r="V47" s="202">
        <v>32000</v>
      </c>
      <c r="W47" s="202">
        <v>47567000</v>
      </c>
      <c r="X47" s="202">
        <v>9595000</v>
      </c>
      <c r="Y47" s="202">
        <v>8075000</v>
      </c>
      <c r="Z47" s="202">
        <v>64097000</v>
      </c>
      <c r="AG47" s="202">
        <f>SUM(D47:Z47)</f>
        <v>416310000</v>
      </c>
    </row>
    <row r="48" spans="2:33" s="196" customFormat="1" x14ac:dyDescent="0.25">
      <c r="C48" s="196" t="s">
        <v>342</v>
      </c>
      <c r="D48" s="196">
        <f>D47/$AG$47</f>
        <v>1.801542120054767E-4</v>
      </c>
      <c r="E48" s="196">
        <f t="shared" ref="E48:Z48" si="3">E47/$AG$47</f>
        <v>2.0362230068939013E-2</v>
      </c>
      <c r="F48" s="196">
        <f t="shared" si="3"/>
        <v>2.6811750858735078E-2</v>
      </c>
      <c r="G48" s="196">
        <f t="shared" si="3"/>
        <v>1.3480339170329802E-2</v>
      </c>
      <c r="H48" s="196">
        <f t="shared" si="3"/>
        <v>1.305757728615695E-2</v>
      </c>
      <c r="I48" s="196">
        <f t="shared" si="3"/>
        <v>0.15967668324085418</v>
      </c>
      <c r="J48" s="196">
        <f t="shared" si="3"/>
        <v>0.1935720977156446</v>
      </c>
      <c r="K48" s="196">
        <f t="shared" si="3"/>
        <v>2.5841320170065577E-2</v>
      </c>
      <c r="L48" s="196">
        <f t="shared" si="3"/>
        <v>7.7826619586365928E-4</v>
      </c>
      <c r="M48" s="196">
        <f t="shared" si="3"/>
        <v>1.1198385818260432E-2</v>
      </c>
      <c r="N48" s="196">
        <f t="shared" si="3"/>
        <v>0.14379188585429128</v>
      </c>
      <c r="O48" s="196">
        <f t="shared" si="3"/>
        <v>8.8876077922701827E-5</v>
      </c>
      <c r="P48" s="196">
        <f t="shared" si="3"/>
        <v>1.3019144387595783E-3</v>
      </c>
      <c r="Q48" s="196">
        <f t="shared" si="3"/>
        <v>1.0064615310705965E-3</v>
      </c>
      <c r="R48" s="196">
        <f t="shared" si="3"/>
        <v>8.6474021762628808E-5</v>
      </c>
      <c r="S48" s="196">
        <f t="shared" si="3"/>
        <v>4.0342533208426415E-2</v>
      </c>
      <c r="T48" s="196">
        <f t="shared" si="3"/>
        <v>1.2195239124690735E-2</v>
      </c>
      <c r="U48" s="196">
        <f t="shared" si="3"/>
        <v>2.5483413802214697E-2</v>
      </c>
      <c r="V48" s="196">
        <f t="shared" si="3"/>
        <v>7.6865797122336715E-5</v>
      </c>
      <c r="W48" s="196">
        <f t="shared" si="3"/>
        <v>0.11425860536619346</v>
      </c>
      <c r="X48" s="196">
        <f t="shared" si="3"/>
        <v>2.3047728855900652E-2</v>
      </c>
      <c r="Y48" s="196">
        <f t="shared" si="3"/>
        <v>1.9396603492589658E-2</v>
      </c>
      <c r="Z48" s="196">
        <f t="shared" si="3"/>
        <v>0.15396459369220053</v>
      </c>
      <c r="AD48" s="206"/>
      <c r="AG48" s="202"/>
    </row>
    <row r="49" spans="3:33" s="196" customFormat="1" x14ac:dyDescent="0.25">
      <c r="C49" s="196" t="s">
        <v>388</v>
      </c>
      <c r="D49" s="196">
        <f>D48*$D$16</f>
        <v>7.2061684802190679E-6</v>
      </c>
      <c r="E49" s="196">
        <f>E48*$D$16</f>
        <v>8.1448920275756058E-4</v>
      </c>
      <c r="F49" s="196">
        <f t="shared" ref="F49:Z49" si="4">F48*$D$16</f>
        <v>1.0724700343494032E-3</v>
      </c>
      <c r="G49" s="196">
        <f t="shared" si="4"/>
        <v>5.3921356681319206E-4</v>
      </c>
      <c r="H49" s="196">
        <f t="shared" si="4"/>
        <v>5.2230309144627796E-4</v>
      </c>
      <c r="I49" s="196">
        <f t="shared" si="4"/>
        <v>6.3870673296341678E-3</v>
      </c>
      <c r="J49" s="196">
        <f t="shared" si="4"/>
        <v>7.7428839086257839E-3</v>
      </c>
      <c r="K49" s="196">
        <f t="shared" si="4"/>
        <v>1.0336528068026231E-3</v>
      </c>
      <c r="L49" s="196">
        <f t="shared" si="4"/>
        <v>3.1130647834546372E-5</v>
      </c>
      <c r="M49" s="196">
        <f t="shared" si="4"/>
        <v>4.4793543273041725E-4</v>
      </c>
      <c r="N49" s="196">
        <f t="shared" si="4"/>
        <v>5.7516754341716513E-3</v>
      </c>
      <c r="O49" s="196">
        <f t="shared" si="4"/>
        <v>3.5550431169080731E-6</v>
      </c>
      <c r="P49" s="196">
        <f t="shared" si="4"/>
        <v>5.2076577550383136E-5</v>
      </c>
      <c r="Q49" s="196">
        <f t="shared" si="4"/>
        <v>4.0258461242823862E-5</v>
      </c>
      <c r="R49" s="196">
        <f t="shared" si="4"/>
        <v>3.4589608705051522E-6</v>
      </c>
      <c r="S49" s="196">
        <f t="shared" si="4"/>
        <v>1.6137013283370567E-3</v>
      </c>
      <c r="T49" s="196">
        <f t="shared" si="4"/>
        <v>4.878095649876294E-4</v>
      </c>
      <c r="U49" s="196">
        <f t="shared" si="4"/>
        <v>1.019336552088588E-3</v>
      </c>
      <c r="V49" s="196">
        <f t="shared" si="4"/>
        <v>3.0746318848934688E-6</v>
      </c>
      <c r="W49" s="196">
        <f t="shared" si="4"/>
        <v>4.5703442146477384E-3</v>
      </c>
      <c r="X49" s="196">
        <f t="shared" si="4"/>
        <v>9.2190915423602613E-4</v>
      </c>
      <c r="Y49" s="196">
        <f t="shared" si="4"/>
        <v>7.758641397035864E-4</v>
      </c>
      <c r="Z49" s="196">
        <f t="shared" si="4"/>
        <v>6.1585837476880213E-3</v>
      </c>
      <c r="AD49" s="206"/>
    </row>
    <row r="50" spans="3:33" s="196" customFormat="1" x14ac:dyDescent="0.25">
      <c r="C50" s="196" t="s">
        <v>389</v>
      </c>
      <c r="D50" s="196">
        <f>D48*$I$16</f>
        <v>-9.1878648122793122E-5</v>
      </c>
      <c r="E50" s="196">
        <f>E48*$I$16</f>
        <v>-1.0384737335158897E-2</v>
      </c>
      <c r="F50" s="196">
        <f t="shared" ref="F50:Z50" si="5">F48*$I$16</f>
        <v>-1.367399293795489E-2</v>
      </c>
      <c r="G50" s="196">
        <f t="shared" si="5"/>
        <v>-6.8749729768681992E-3</v>
      </c>
      <c r="H50" s="196">
        <f t="shared" si="5"/>
        <v>-6.6593644159400446E-3</v>
      </c>
      <c r="I50" s="196">
        <f t="shared" si="5"/>
        <v>-8.1435108452835636E-2</v>
      </c>
      <c r="J50" s="196">
        <f t="shared" si="5"/>
        <v>-9.872176983497874E-2</v>
      </c>
      <c r="K50" s="196">
        <f t="shared" si="5"/>
        <v>-1.3179073286733444E-2</v>
      </c>
      <c r="L50" s="196">
        <f t="shared" si="5"/>
        <v>-3.9691575989046622E-4</v>
      </c>
      <c r="M50" s="196">
        <f t="shared" si="5"/>
        <v>-5.7111767673128202E-3</v>
      </c>
      <c r="N50" s="196">
        <f t="shared" si="5"/>
        <v>-7.3333861785688556E-2</v>
      </c>
      <c r="O50" s="196">
        <f t="shared" si="5"/>
        <v>-4.5326799740577933E-5</v>
      </c>
      <c r="P50" s="196">
        <f t="shared" si="5"/>
        <v>-6.6397636376738496E-4</v>
      </c>
      <c r="Q50" s="196">
        <f t="shared" si="5"/>
        <v>-5.1329538084600424E-4</v>
      </c>
      <c r="R50" s="196">
        <f t="shared" si="5"/>
        <v>-4.410175109894069E-5</v>
      </c>
      <c r="S50" s="196">
        <f t="shared" si="5"/>
        <v>-2.0574691936297473E-2</v>
      </c>
      <c r="T50" s="196">
        <f t="shared" si="5"/>
        <v>-6.2195719535922747E-3</v>
      </c>
      <c r="U50" s="196">
        <f t="shared" si="5"/>
        <v>-1.2996541039129495E-2</v>
      </c>
      <c r="V50" s="196">
        <f t="shared" si="5"/>
        <v>-3.9201556532391724E-5</v>
      </c>
      <c r="W50" s="196">
        <f t="shared" si="5"/>
        <v>-5.8271888736758669E-2</v>
      </c>
      <c r="X50" s="196">
        <f t="shared" si="5"/>
        <v>-1.1754341716509333E-2</v>
      </c>
      <c r="Y50" s="196">
        <f t="shared" si="5"/>
        <v>-9.8922677812207267E-3</v>
      </c>
      <c r="Z50" s="196">
        <f t="shared" si="5"/>
        <v>-7.8521942783022269E-2</v>
      </c>
      <c r="AD50" s="206"/>
    </row>
    <row r="51" spans="3:33" s="196" customFormat="1" x14ac:dyDescent="0.25">
      <c r="E51" s="205"/>
      <c r="F51" s="205"/>
      <c r="G51" s="206"/>
      <c r="H51" s="206"/>
      <c r="I51" s="202"/>
      <c r="J51" s="202"/>
      <c r="K51" s="202"/>
      <c r="N51" s="202"/>
      <c r="S51" s="202"/>
      <c r="U51" s="206"/>
      <c r="W51" s="202"/>
      <c r="X51" s="202"/>
      <c r="Y51" s="202"/>
      <c r="Z51" s="202"/>
      <c r="AD51" s="206"/>
    </row>
    <row r="52" spans="3:33" s="196" customFormat="1" x14ac:dyDescent="0.25">
      <c r="C52" s="196" t="s">
        <v>328</v>
      </c>
      <c r="D52" s="196" t="s">
        <v>390</v>
      </c>
      <c r="E52" s="206" t="s">
        <v>391</v>
      </c>
      <c r="F52" s="206" t="s">
        <v>392</v>
      </c>
      <c r="G52" s="206" t="s">
        <v>393</v>
      </c>
      <c r="H52" s="206" t="s">
        <v>394</v>
      </c>
      <c r="I52" s="206" t="s">
        <v>395</v>
      </c>
      <c r="J52" s="196" t="s">
        <v>396</v>
      </c>
      <c r="K52" s="196" t="s">
        <v>397</v>
      </c>
      <c r="L52" s="196" t="s">
        <v>398</v>
      </c>
      <c r="M52" s="196" t="s">
        <v>399</v>
      </c>
      <c r="N52" s="196" t="s">
        <v>400</v>
      </c>
      <c r="O52" s="196" t="s">
        <v>401</v>
      </c>
      <c r="P52" s="196" t="s">
        <v>402</v>
      </c>
      <c r="Q52" s="196" t="s">
        <v>403</v>
      </c>
      <c r="R52" s="196" t="s">
        <v>404</v>
      </c>
      <c r="S52" s="196" t="s">
        <v>405</v>
      </c>
      <c r="T52" s="196" t="s">
        <v>406</v>
      </c>
      <c r="U52" s="196" t="s">
        <v>407</v>
      </c>
      <c r="V52" s="196" t="s">
        <v>408</v>
      </c>
      <c r="W52" s="196" t="s">
        <v>409</v>
      </c>
      <c r="X52" s="196" t="s">
        <v>410</v>
      </c>
      <c r="Y52" s="196" t="s">
        <v>411</v>
      </c>
      <c r="Z52" s="196" t="s">
        <v>412</v>
      </c>
      <c r="AA52" s="196" t="s">
        <v>413</v>
      </c>
      <c r="AB52" s="196" t="s">
        <v>414</v>
      </c>
      <c r="AC52" s="196" t="s">
        <v>415</v>
      </c>
      <c r="AD52" s="206" t="s">
        <v>416</v>
      </c>
      <c r="AG52" s="196" t="s">
        <v>218</v>
      </c>
    </row>
    <row r="53" spans="3:33" s="196" customFormat="1" x14ac:dyDescent="0.25">
      <c r="C53" s="196" t="s">
        <v>341</v>
      </c>
      <c r="D53" s="202">
        <v>143455000</v>
      </c>
      <c r="E53" s="202">
        <v>5413000</v>
      </c>
      <c r="F53" s="202">
        <v>10519000</v>
      </c>
      <c r="G53" s="202">
        <v>38548000</v>
      </c>
      <c r="H53" s="202">
        <v>9894000</v>
      </c>
      <c r="I53" s="206">
        <v>19858000</v>
      </c>
      <c r="J53" s="205">
        <v>3486000</v>
      </c>
      <c r="K53" s="202">
        <v>4258000</v>
      </c>
      <c r="L53" s="202">
        <v>2956000</v>
      </c>
      <c r="M53" s="202">
        <v>2011000</v>
      </c>
      <c r="N53" s="202">
        <v>1283000</v>
      </c>
      <c r="O53" s="202">
        <v>2062000</v>
      </c>
      <c r="P53" s="202">
        <v>7261000</v>
      </c>
      <c r="Q53" s="202">
        <v>45461000</v>
      </c>
      <c r="R53" s="202">
        <v>9460000</v>
      </c>
      <c r="S53" s="202">
        <v>7203000</v>
      </c>
      <c r="T53" s="202">
        <v>620000</v>
      </c>
      <c r="U53" s="202">
        <v>3847000</v>
      </c>
      <c r="V53" s="202">
        <v>4942157</v>
      </c>
      <c r="W53" s="202">
        <v>2783000</v>
      </c>
      <c r="X53" s="202">
        <v>1826000</v>
      </c>
      <c r="Y53" s="202">
        <v>2066000</v>
      </c>
      <c r="Z53" s="202">
        <v>76667864</v>
      </c>
      <c r="AA53" s="202">
        <v>17948816</v>
      </c>
      <c r="AB53" s="202">
        <v>9494600</v>
      </c>
      <c r="AC53" s="202">
        <v>3018854</v>
      </c>
      <c r="AD53" s="206">
        <v>1117000</v>
      </c>
      <c r="AF53" s="202"/>
      <c r="AG53" s="202">
        <f>SUM(D53:AE53)</f>
        <v>437459291</v>
      </c>
    </row>
    <row r="54" spans="3:33" s="196" customFormat="1" x14ac:dyDescent="0.25">
      <c r="C54" s="196" t="s">
        <v>342</v>
      </c>
      <c r="D54" s="196">
        <f>D53/$AG$53</f>
        <v>0.32792765624447556</v>
      </c>
      <c r="E54" s="196">
        <f t="shared" ref="E54:AD54" si="6">E53/$AG$53</f>
        <v>1.2373722792871257E-2</v>
      </c>
      <c r="F54" s="196">
        <f t="shared" si="6"/>
        <v>2.4045666000039306E-2</v>
      </c>
      <c r="G54" s="196">
        <f t="shared" si="6"/>
        <v>8.8117913582043461E-2</v>
      </c>
      <c r="H54" s="196">
        <f t="shared" si="6"/>
        <v>2.2616961631751011E-2</v>
      </c>
      <c r="I54" s="196">
        <f t="shared" si="6"/>
        <v>4.5393938152750307E-2</v>
      </c>
      <c r="J54" s="196">
        <f t="shared" si="6"/>
        <v>7.968741484564789E-3</v>
      </c>
      <c r="K54" s="196">
        <f t="shared" si="6"/>
        <v>9.7334771202744891E-3</v>
      </c>
      <c r="L54" s="196">
        <f t="shared" si="6"/>
        <v>6.7572001802563156E-3</v>
      </c>
      <c r="M54" s="196">
        <f t="shared" si="6"/>
        <v>4.596999175404415E-3</v>
      </c>
      <c r="N54" s="196">
        <f t="shared" si="6"/>
        <v>2.9328443272222098E-3</v>
      </c>
      <c r="O54" s="196">
        <f t="shared" si="6"/>
        <v>4.7135814518567401E-3</v>
      </c>
      <c r="P54" s="196">
        <f t="shared" si="6"/>
        <v>1.6598115869026084E-2</v>
      </c>
      <c r="Q54" s="196">
        <f t="shared" si="6"/>
        <v>0.10392052685880662</v>
      </c>
      <c r="R54" s="196">
        <f t="shared" si="6"/>
        <v>2.1624869318411618E-2</v>
      </c>
      <c r="S54" s="196">
        <f t="shared" si="6"/>
        <v>1.6465532103648931E-2</v>
      </c>
      <c r="T54" s="196">
        <f t="shared" si="6"/>
        <v>1.4172747333419877E-3</v>
      </c>
      <c r="U54" s="196">
        <f t="shared" si="6"/>
        <v>8.7939611276881078E-3</v>
      </c>
      <c r="V54" s="196">
        <f t="shared" si="6"/>
        <v>1.1297410071466512E-2</v>
      </c>
      <c r="W54" s="196">
        <f t="shared" si="6"/>
        <v>6.3617348111141159E-3</v>
      </c>
      <c r="X54" s="196">
        <f t="shared" si="6"/>
        <v>4.1741026823910801E-3</v>
      </c>
      <c r="Y54" s="196">
        <f t="shared" si="6"/>
        <v>4.7227251598137851E-3</v>
      </c>
      <c r="Z54" s="196">
        <f t="shared" si="6"/>
        <v>0.17525713952661254</v>
      </c>
      <c r="AA54" s="196">
        <f t="shared" si="6"/>
        <v>4.1029682919684521E-2</v>
      </c>
      <c r="AB54" s="196">
        <f t="shared" si="6"/>
        <v>2.170396239224006E-2</v>
      </c>
      <c r="AC54" s="196">
        <f t="shared" si="6"/>
        <v>6.9008798352393434E-3</v>
      </c>
      <c r="AD54" s="196">
        <f t="shared" si="6"/>
        <v>2.553380447004839E-3</v>
      </c>
      <c r="AG54" s="202"/>
    </row>
    <row r="55" spans="3:33" s="196" customFormat="1" x14ac:dyDescent="0.25">
      <c r="C55" s="196" t="s">
        <v>388</v>
      </c>
      <c r="D55" s="196">
        <f>D54*$D$9</f>
        <v>-0.12133323281045595</v>
      </c>
      <c r="E55" s="196">
        <f t="shared" ref="E55:AD55" si="7">E54*$D$9</f>
        <v>-4.5782774333623646E-3</v>
      </c>
      <c r="F55" s="196">
        <f t="shared" si="7"/>
        <v>-8.8968964200145436E-3</v>
      </c>
      <c r="G55" s="196">
        <f t="shared" si="7"/>
        <v>-3.2603628025356081E-2</v>
      </c>
      <c r="H55" s="196">
        <f t="shared" si="7"/>
        <v>-8.3682758037478735E-3</v>
      </c>
      <c r="I55" s="196">
        <f t="shared" si="7"/>
        <v>-1.6795757116517613E-2</v>
      </c>
      <c r="J55" s="196">
        <f t="shared" si="7"/>
        <v>-2.9484343492889721E-3</v>
      </c>
      <c r="K55" s="196">
        <f t="shared" si="7"/>
        <v>-3.6013865345015609E-3</v>
      </c>
      <c r="L55" s="196">
        <f t="shared" si="7"/>
        <v>-2.5001640666948368E-3</v>
      </c>
      <c r="M55" s="196">
        <f t="shared" si="7"/>
        <v>-1.7008896948996336E-3</v>
      </c>
      <c r="N55" s="196">
        <f t="shared" si="7"/>
        <v>-1.0851524010722176E-3</v>
      </c>
      <c r="O55" s="196">
        <f t="shared" si="7"/>
        <v>-1.7440251371869937E-3</v>
      </c>
      <c r="P55" s="196">
        <f t="shared" si="7"/>
        <v>-6.1413028715396507E-3</v>
      </c>
      <c r="Q55" s="196">
        <f t="shared" si="7"/>
        <v>-3.8450594937758452E-2</v>
      </c>
      <c r="R55" s="196">
        <f t="shared" si="7"/>
        <v>-8.001201647812298E-3</v>
      </c>
      <c r="S55" s="196">
        <f t="shared" si="7"/>
        <v>-6.0922468783501044E-3</v>
      </c>
      <c r="T55" s="196">
        <f t="shared" si="7"/>
        <v>-5.2439165133653541E-4</v>
      </c>
      <c r="U55" s="196">
        <f t="shared" si="7"/>
        <v>-3.2537656172445997E-3</v>
      </c>
      <c r="V55" s="196">
        <f t="shared" si="7"/>
        <v>-4.1800417264426099E-3</v>
      </c>
      <c r="W55" s="196">
        <f t="shared" si="7"/>
        <v>-2.3538418801122229E-3</v>
      </c>
      <c r="X55" s="196">
        <f t="shared" si="7"/>
        <v>-1.5444179924846996E-3</v>
      </c>
      <c r="Y55" s="196">
        <f t="shared" si="7"/>
        <v>-1.7474083091311005E-3</v>
      </c>
      <c r="Z55" s="196">
        <f t="shared" si="7"/>
        <v>-6.4845141624846642E-2</v>
      </c>
      <c r="AA55" s="196">
        <f t="shared" si="7"/>
        <v>-1.5180982680283273E-2</v>
      </c>
      <c r="AB55" s="196">
        <f t="shared" si="7"/>
        <v>-8.0304660851288224E-3</v>
      </c>
      <c r="AC55" s="196">
        <f t="shared" si="7"/>
        <v>-2.5533255390385568E-3</v>
      </c>
      <c r="AD55" s="196">
        <f t="shared" si="7"/>
        <v>-9.4475076539179037E-4</v>
      </c>
      <c r="AG55" s="202"/>
    </row>
    <row r="56" spans="3:33" s="196" customFormat="1" x14ac:dyDescent="0.25">
      <c r="C56" s="196" t="s">
        <v>389</v>
      </c>
      <c r="D56" s="196">
        <f>D54*$I$9</f>
        <v>-0.33120693280692032</v>
      </c>
      <c r="E56" s="196">
        <f t="shared" ref="E56:AD56" si="8">E54*$I$9</f>
        <v>-1.249746002079997E-2</v>
      </c>
      <c r="F56" s="196">
        <f t="shared" si="8"/>
        <v>-2.42861226600397E-2</v>
      </c>
      <c r="G56" s="196">
        <f t="shared" si="8"/>
        <v>-8.8999092717863895E-2</v>
      </c>
      <c r="H56" s="196">
        <f t="shared" si="8"/>
        <v>-2.284313124806852E-2</v>
      </c>
      <c r="I56" s="196">
        <f t="shared" si="8"/>
        <v>-4.5847877534277812E-2</v>
      </c>
      <c r="J56" s="196">
        <f t="shared" si="8"/>
        <v>-8.0484288994104366E-3</v>
      </c>
      <c r="K56" s="196">
        <f t="shared" si="8"/>
        <v>-9.8308118914772341E-3</v>
      </c>
      <c r="L56" s="196">
        <f t="shared" si="8"/>
        <v>-6.824772182058879E-3</v>
      </c>
      <c r="M56" s="196">
        <f t="shared" si="8"/>
        <v>-4.6429691671584592E-3</v>
      </c>
      <c r="N56" s="196">
        <f t="shared" si="8"/>
        <v>-2.962172770494432E-3</v>
      </c>
      <c r="O56" s="196">
        <f t="shared" si="8"/>
        <v>-4.7607172663753075E-3</v>
      </c>
      <c r="P56" s="196">
        <f t="shared" si="8"/>
        <v>-1.6764097027716345E-2</v>
      </c>
      <c r="Q56" s="196">
        <f t="shared" si="8"/>
        <v>-0.10495973212739469</v>
      </c>
      <c r="R56" s="196">
        <f t="shared" si="8"/>
        <v>-2.1841118011595734E-2</v>
      </c>
      <c r="S56" s="196">
        <f t="shared" si="8"/>
        <v>-1.663018742468542E-2</v>
      </c>
      <c r="T56" s="196">
        <f t="shared" si="8"/>
        <v>-1.4314474806754077E-3</v>
      </c>
      <c r="U56" s="196">
        <f t="shared" si="8"/>
        <v>-8.8819007389649898E-3</v>
      </c>
      <c r="V56" s="196">
        <f t="shared" si="8"/>
        <v>-1.1410384172181178E-2</v>
      </c>
      <c r="W56" s="196">
        <f t="shared" si="8"/>
        <v>-6.4253521592252567E-3</v>
      </c>
      <c r="X56" s="196">
        <f t="shared" si="8"/>
        <v>-4.2158437092149909E-3</v>
      </c>
      <c r="Y56" s="196">
        <f t="shared" si="8"/>
        <v>-4.7699524114119228E-3</v>
      </c>
      <c r="Z56" s="196">
        <f t="shared" si="8"/>
        <v>-0.17700971092187867</v>
      </c>
      <c r="AA56" s="196">
        <f t="shared" si="8"/>
        <v>-4.1439979748881368E-2</v>
      </c>
      <c r="AB56" s="196">
        <f t="shared" si="8"/>
        <v>-2.1921002016162462E-2</v>
      </c>
      <c r="AC56" s="196">
        <f t="shared" si="8"/>
        <v>-6.9698886335917368E-3</v>
      </c>
      <c r="AD56" s="196">
        <f t="shared" si="8"/>
        <v>-2.5789142514748876E-3</v>
      </c>
      <c r="AG56" s="202"/>
    </row>
    <row r="57" spans="3:33" s="196" customFormat="1" x14ac:dyDescent="0.25">
      <c r="AD57" s="206"/>
    </row>
    <row r="58" spans="3:33" s="196" customFormat="1" x14ac:dyDescent="0.25">
      <c r="C58" s="196" t="s">
        <v>6</v>
      </c>
      <c r="D58" s="207" t="s">
        <v>366</v>
      </c>
      <c r="E58" s="207" t="s">
        <v>417</v>
      </c>
      <c r="F58" s="196" t="s">
        <v>402</v>
      </c>
      <c r="G58" s="196" t="s">
        <v>397</v>
      </c>
      <c r="H58" s="196" t="s">
        <v>416</v>
      </c>
      <c r="I58" s="196" t="s">
        <v>392</v>
      </c>
      <c r="J58" s="196" t="s">
        <v>368</v>
      </c>
      <c r="K58" s="196" t="s">
        <v>400</v>
      </c>
      <c r="L58" s="196" t="s">
        <v>418</v>
      </c>
      <c r="M58" s="207" t="s">
        <v>419</v>
      </c>
      <c r="N58" s="196" t="s">
        <v>420</v>
      </c>
      <c r="O58" s="196" t="s">
        <v>421</v>
      </c>
      <c r="P58" s="196" t="s">
        <v>394</v>
      </c>
      <c r="Q58" s="207" t="s">
        <v>374</v>
      </c>
      <c r="R58" s="196" t="s">
        <v>422</v>
      </c>
      <c r="S58" s="196" t="s">
        <v>399</v>
      </c>
      <c r="T58" s="196" t="s">
        <v>398</v>
      </c>
      <c r="U58" s="207" t="s">
        <v>423</v>
      </c>
      <c r="V58" s="196" t="s">
        <v>378</v>
      </c>
      <c r="W58" s="207" t="s">
        <v>380</v>
      </c>
      <c r="X58" s="196" t="s">
        <v>393</v>
      </c>
      <c r="Y58" s="196" t="s">
        <v>382</v>
      </c>
      <c r="Z58" s="196" t="s">
        <v>424</v>
      </c>
      <c r="AA58" s="196" t="s">
        <v>425</v>
      </c>
      <c r="AB58" s="196" t="s">
        <v>401</v>
      </c>
      <c r="AC58" s="196" t="s">
        <v>426</v>
      </c>
      <c r="AD58" s="196" t="s">
        <v>385</v>
      </c>
      <c r="AE58" s="207" t="s">
        <v>387</v>
      </c>
    </row>
    <row r="59" spans="3:33" s="196" customFormat="1" x14ac:dyDescent="0.25">
      <c r="C59" s="196" t="s">
        <v>388</v>
      </c>
      <c r="D59" s="202">
        <f>E49</f>
        <v>8.1448920275756058E-4</v>
      </c>
      <c r="E59" s="202">
        <f>F49</f>
        <v>1.0724700343494032E-3</v>
      </c>
      <c r="F59" s="196">
        <f>P55</f>
        <v>-6.1413028715396507E-3</v>
      </c>
      <c r="G59" s="196">
        <f>K55</f>
        <v>-3.6013865345015609E-3</v>
      </c>
      <c r="H59" s="196">
        <f>AD55</f>
        <v>-9.4475076539179037E-4</v>
      </c>
      <c r="I59" s="196">
        <f>F55</f>
        <v>-8.8968964200145436E-3</v>
      </c>
      <c r="J59" s="196">
        <f>G49</f>
        <v>5.3921356681319206E-4</v>
      </c>
      <c r="K59" s="196">
        <f>N55</f>
        <v>-1.0851524010722176E-3</v>
      </c>
      <c r="L59" s="196">
        <f t="shared" ref="L59:O60" si="9">H49</f>
        <v>5.2230309144627796E-4</v>
      </c>
      <c r="M59" s="202">
        <f t="shared" si="9"/>
        <v>6.3870673296341678E-3</v>
      </c>
      <c r="N59" s="202">
        <f t="shared" si="9"/>
        <v>7.7428839086257839E-3</v>
      </c>
      <c r="O59" s="202">
        <f t="shared" si="9"/>
        <v>1.0336528068026231E-3</v>
      </c>
      <c r="P59" s="196">
        <f>H55</f>
        <v>-8.3682758037478735E-3</v>
      </c>
      <c r="Q59" s="196">
        <f>M49</f>
        <v>4.4793543273041725E-4</v>
      </c>
      <c r="R59" s="202">
        <f>N49</f>
        <v>5.7516754341716513E-3</v>
      </c>
      <c r="S59" s="196">
        <f>M55</f>
        <v>-1.7008896948996336E-3</v>
      </c>
      <c r="T59" s="196">
        <f>L55</f>
        <v>-2.5001640666948368E-3</v>
      </c>
      <c r="U59" s="196">
        <f>P49</f>
        <v>5.2076577550383136E-5</v>
      </c>
      <c r="V59" s="196">
        <f>Q49</f>
        <v>4.0258461242823862E-5</v>
      </c>
      <c r="W59" s="202">
        <f>S49</f>
        <v>1.6137013283370567E-3</v>
      </c>
      <c r="X59" s="196">
        <f>G55</f>
        <v>-3.2603628025356081E-2</v>
      </c>
      <c r="Y59" s="196">
        <f>U49</f>
        <v>1.019336552088588E-3</v>
      </c>
      <c r="Z59" s="196">
        <f>I55</f>
        <v>-1.6795757116517613E-2</v>
      </c>
      <c r="AA59" s="196">
        <f>E55</f>
        <v>-4.5782774333623646E-3</v>
      </c>
      <c r="AB59" s="196">
        <f>O55</f>
        <v>-1.7440251371869937E-3</v>
      </c>
      <c r="AC59" s="202">
        <f>W49</f>
        <v>4.5703442146477384E-3</v>
      </c>
      <c r="AD59" s="202">
        <f>X49</f>
        <v>9.2190915423602613E-4</v>
      </c>
      <c r="AE59" s="202">
        <f>Z49</f>
        <v>6.1585837476880213E-3</v>
      </c>
    </row>
    <row r="60" spans="3:33" s="196" customFormat="1" x14ac:dyDescent="0.25">
      <c r="C60" s="196" t="s">
        <v>389</v>
      </c>
      <c r="D60" s="202">
        <f>E50</f>
        <v>-1.0384737335158897E-2</v>
      </c>
      <c r="E60" s="202">
        <f>F50</f>
        <v>-1.367399293795489E-2</v>
      </c>
      <c r="F60" s="196">
        <f>P56</f>
        <v>-1.6764097027716345E-2</v>
      </c>
      <c r="G60" s="196">
        <f>K56</f>
        <v>-9.8308118914772341E-3</v>
      </c>
      <c r="H60" s="196">
        <f>AD56</f>
        <v>-2.5789142514748876E-3</v>
      </c>
      <c r="I60" s="196">
        <f>F56</f>
        <v>-2.42861226600397E-2</v>
      </c>
      <c r="J60" s="196">
        <f>G50</f>
        <v>-6.8749729768681992E-3</v>
      </c>
      <c r="K60" s="196">
        <f>N56</f>
        <v>-2.962172770494432E-3</v>
      </c>
      <c r="L60" s="196">
        <f t="shared" si="9"/>
        <v>-6.6593644159400446E-3</v>
      </c>
      <c r="M60" s="202">
        <f t="shared" si="9"/>
        <v>-8.1435108452835636E-2</v>
      </c>
      <c r="N60" s="202">
        <f t="shared" si="9"/>
        <v>-9.872176983497874E-2</v>
      </c>
      <c r="O60" s="202">
        <f t="shared" si="9"/>
        <v>-1.3179073286733444E-2</v>
      </c>
      <c r="P60" s="196">
        <f>H56</f>
        <v>-2.284313124806852E-2</v>
      </c>
      <c r="Q60" s="196">
        <f>M50</f>
        <v>-5.7111767673128202E-3</v>
      </c>
      <c r="R60" s="202">
        <f>N50</f>
        <v>-7.3333861785688556E-2</v>
      </c>
      <c r="S60" s="196">
        <f>M56</f>
        <v>-4.6429691671584592E-3</v>
      </c>
      <c r="T60" s="196">
        <f>L56</f>
        <v>-6.824772182058879E-3</v>
      </c>
      <c r="U60" s="196">
        <f>P50</f>
        <v>-6.6397636376738496E-4</v>
      </c>
      <c r="V60" s="196">
        <f>Q50</f>
        <v>-5.1329538084600424E-4</v>
      </c>
      <c r="W60" s="202">
        <f>S50</f>
        <v>-2.0574691936297473E-2</v>
      </c>
      <c r="X60" s="196">
        <f>G56</f>
        <v>-8.8999092717863895E-2</v>
      </c>
      <c r="Y60" s="196">
        <f>U50</f>
        <v>-1.2996541039129495E-2</v>
      </c>
      <c r="Z60" s="196">
        <f>I56</f>
        <v>-4.5847877534277812E-2</v>
      </c>
      <c r="AA60" s="196">
        <f>E56</f>
        <v>-1.249746002079997E-2</v>
      </c>
      <c r="AB60" s="196">
        <f>O56</f>
        <v>-4.7607172663753075E-3</v>
      </c>
      <c r="AC60" s="202">
        <f>W50</f>
        <v>-5.8271888736758669E-2</v>
      </c>
      <c r="AD60" s="202">
        <f>X50</f>
        <v>-1.1754341716509333E-2</v>
      </c>
      <c r="AE60" s="202">
        <f>Z50</f>
        <v>-7.8521942783022269E-2</v>
      </c>
    </row>
    <row r="61" spans="3:33" s="196" customFormat="1" x14ac:dyDescent="0.25">
      <c r="D61" s="202"/>
    </row>
    <row r="62" spans="3:33" s="196" customFormat="1" x14ac:dyDescent="0.25">
      <c r="D62" s="202"/>
    </row>
    <row r="63" spans="3:33" s="196" customFormat="1" x14ac:dyDescent="0.25">
      <c r="C63" s="196" t="s">
        <v>6</v>
      </c>
      <c r="D63" s="196" t="s">
        <v>366</v>
      </c>
      <c r="E63" s="196" t="s">
        <v>417</v>
      </c>
      <c r="F63" s="196" t="s">
        <v>402</v>
      </c>
      <c r="G63" s="196" t="s">
        <v>397</v>
      </c>
      <c r="H63" s="196" t="s">
        <v>416</v>
      </c>
      <c r="I63" s="196" t="s">
        <v>392</v>
      </c>
      <c r="J63" s="196" t="s">
        <v>368</v>
      </c>
      <c r="K63" s="196" t="s">
        <v>400</v>
      </c>
      <c r="L63" s="196" t="s">
        <v>418</v>
      </c>
      <c r="M63" s="196" t="s">
        <v>419</v>
      </c>
      <c r="N63" s="196" t="s">
        <v>420</v>
      </c>
      <c r="O63" s="196" t="s">
        <v>421</v>
      </c>
      <c r="P63" s="196" t="s">
        <v>394</v>
      </c>
      <c r="Q63" s="196" t="s">
        <v>374</v>
      </c>
      <c r="R63" s="196" t="s">
        <v>422</v>
      </c>
      <c r="S63" s="196" t="s">
        <v>399</v>
      </c>
      <c r="T63" s="196" t="s">
        <v>398</v>
      </c>
      <c r="U63" s="196" t="s">
        <v>423</v>
      </c>
      <c r="V63" s="196" t="s">
        <v>378</v>
      </c>
      <c r="W63" s="196" t="s">
        <v>380</v>
      </c>
      <c r="X63" s="196" t="s">
        <v>393</v>
      </c>
      <c r="Y63" s="196" t="s">
        <v>382</v>
      </c>
      <c r="Z63" s="196" t="s">
        <v>424</v>
      </c>
      <c r="AA63" s="196" t="s">
        <v>425</v>
      </c>
      <c r="AB63" s="196" t="s">
        <v>401</v>
      </c>
      <c r="AC63" s="196" t="s">
        <v>426</v>
      </c>
      <c r="AD63" s="196" t="s">
        <v>385</v>
      </c>
      <c r="AE63" s="196" t="s">
        <v>387</v>
      </c>
    </row>
    <row r="64" spans="3:33" s="196" customFormat="1" x14ac:dyDescent="0.25">
      <c r="C64" s="196" t="s">
        <v>388</v>
      </c>
      <c r="D64" s="196">
        <v>8.1448920275756058E-4</v>
      </c>
      <c r="E64" s="196">
        <v>1.0724700343494032E-3</v>
      </c>
      <c r="F64" s="196">
        <v>-6.1413028715396507E-3</v>
      </c>
      <c r="G64" s="196">
        <v>-3.6013865345015609E-3</v>
      </c>
      <c r="H64" s="196">
        <v>-9.4475076539179037E-4</v>
      </c>
      <c r="I64" s="196">
        <v>-8.8968964200145436E-3</v>
      </c>
      <c r="J64" s="196">
        <v>5.3921356681319206E-4</v>
      </c>
      <c r="K64" s="196">
        <v>-1.0851524010722176E-3</v>
      </c>
      <c r="L64" s="196">
        <v>5.2230309144627796E-4</v>
      </c>
      <c r="M64" s="196">
        <v>6.3870673296341678E-3</v>
      </c>
      <c r="N64" s="196">
        <v>7.7428839086257839E-3</v>
      </c>
      <c r="O64" s="196">
        <v>1.0336528068026231E-3</v>
      </c>
      <c r="P64" s="196">
        <v>-8.3682758037478735E-3</v>
      </c>
      <c r="Q64" s="196">
        <v>4.4793543273041725E-4</v>
      </c>
      <c r="R64" s="196">
        <v>5.7516754341716513E-3</v>
      </c>
      <c r="S64" s="196">
        <v>-1.7008896948996336E-3</v>
      </c>
      <c r="T64" s="196">
        <v>-2.5001640666948368E-3</v>
      </c>
      <c r="U64" s="196">
        <v>5.2076577550383136E-5</v>
      </c>
      <c r="V64" s="196">
        <v>4.0258461242823862E-5</v>
      </c>
      <c r="W64" s="196">
        <v>1.6137013283370567E-3</v>
      </c>
      <c r="X64" s="196">
        <v>-3.2603628025356081E-2</v>
      </c>
      <c r="Y64" s="196">
        <v>1.019336552088588E-3</v>
      </c>
      <c r="Z64" s="196">
        <v>-1.6795757116517613E-2</v>
      </c>
      <c r="AA64" s="196">
        <v>-4.5782774333623646E-3</v>
      </c>
      <c r="AB64" s="196">
        <v>-1.7440251371869937E-3</v>
      </c>
      <c r="AC64" s="196">
        <v>4.5703442146477384E-3</v>
      </c>
      <c r="AD64" s="196">
        <v>9.2190915423602613E-4</v>
      </c>
      <c r="AE64" s="196">
        <v>6.1585837476880213E-3</v>
      </c>
    </row>
    <row r="65" spans="2:31" s="196" customFormat="1" x14ac:dyDescent="0.25">
      <c r="C65" s="196" t="s">
        <v>389</v>
      </c>
      <c r="D65" s="196">
        <v>-1.0384737335158897E-2</v>
      </c>
      <c r="E65" s="196">
        <v>-1.367399293795489E-2</v>
      </c>
      <c r="F65" s="196">
        <v>-1.6764097027716345E-2</v>
      </c>
      <c r="G65" s="196">
        <v>-9.8308118914772341E-3</v>
      </c>
      <c r="H65" s="196">
        <v>-2.5789142514748876E-3</v>
      </c>
      <c r="I65" s="196">
        <v>-2.42861226600397E-2</v>
      </c>
      <c r="J65" s="196">
        <v>-6.8749729768681992E-3</v>
      </c>
      <c r="K65" s="196">
        <v>-2.962172770494432E-3</v>
      </c>
      <c r="L65" s="196">
        <v>-6.6593644159400446E-3</v>
      </c>
      <c r="M65" s="196">
        <v>-8.1435108452835636E-2</v>
      </c>
      <c r="N65" s="196">
        <v>-9.872176983497874E-2</v>
      </c>
      <c r="O65" s="196">
        <v>-1.3179073286733444E-2</v>
      </c>
      <c r="P65" s="196">
        <v>-2.284313124806852E-2</v>
      </c>
      <c r="Q65" s="196">
        <v>-5.7111767673128202E-3</v>
      </c>
      <c r="R65" s="196">
        <v>-7.3333861785688556E-2</v>
      </c>
      <c r="S65" s="196">
        <v>-4.6429691671584592E-3</v>
      </c>
      <c r="T65" s="196">
        <v>-6.824772182058879E-3</v>
      </c>
      <c r="U65" s="196">
        <v>-6.6397636376738496E-4</v>
      </c>
      <c r="V65" s="196">
        <v>-5.1329538084600424E-4</v>
      </c>
      <c r="W65" s="196">
        <v>-2.0574691936297473E-2</v>
      </c>
      <c r="X65" s="196">
        <v>-8.8999092717863895E-2</v>
      </c>
      <c r="Y65" s="196">
        <v>-1.2996541039129495E-2</v>
      </c>
      <c r="Z65" s="196">
        <v>-4.5847877534277812E-2</v>
      </c>
      <c r="AA65" s="196">
        <v>-1.249746002079997E-2</v>
      </c>
      <c r="AB65" s="196">
        <v>-4.7607172663753075E-3</v>
      </c>
      <c r="AC65" s="196">
        <v>-5.8271888736758669E-2</v>
      </c>
      <c r="AD65" s="196">
        <v>-1.1754341716509333E-2</v>
      </c>
      <c r="AE65" s="196">
        <v>-7.8521942783022269E-2</v>
      </c>
    </row>
    <row r="66" spans="2:31" s="196" customFormat="1" x14ac:dyDescent="0.25"/>
    <row r="67" spans="2:31" s="196" customFormat="1" x14ac:dyDescent="0.25">
      <c r="C67" s="197" t="s">
        <v>427</v>
      </c>
      <c r="D67" s="197">
        <f>SUM(D64:AE64)</f>
        <v>-5.0272605427163441E-2</v>
      </c>
    </row>
    <row r="68" spans="2:31" s="198" customFormat="1" x14ac:dyDescent="0.25">
      <c r="C68" s="199" t="s">
        <v>428</v>
      </c>
      <c r="D68" s="199">
        <f>SUM(D65:AE65)</f>
        <v>-0.73610887448760731</v>
      </c>
    </row>
    <row r="71" spans="2:31" s="195" customFormat="1" x14ac:dyDescent="0.25">
      <c r="B71" s="208" t="s">
        <v>429</v>
      </c>
      <c r="C71" s="195" t="s">
        <v>329</v>
      </c>
      <c r="D71" s="195" t="s">
        <v>430</v>
      </c>
      <c r="E71" s="195" t="s">
        <v>431</v>
      </c>
      <c r="F71" s="195" t="s">
        <v>7</v>
      </c>
      <c r="G71" s="195" t="s">
        <v>432</v>
      </c>
      <c r="H71" s="195" t="s">
        <v>433</v>
      </c>
      <c r="I71" s="195" t="s">
        <v>434</v>
      </c>
      <c r="J71" s="195" t="s">
        <v>435</v>
      </c>
      <c r="K71" s="195" t="s">
        <v>436</v>
      </c>
      <c r="L71" s="195" t="s">
        <v>437</v>
      </c>
      <c r="M71" s="195" t="s">
        <v>438</v>
      </c>
      <c r="N71" s="195" t="s">
        <v>439</v>
      </c>
      <c r="O71" s="195" t="s">
        <v>440</v>
      </c>
      <c r="P71" s="195" t="s">
        <v>441</v>
      </c>
      <c r="Q71" s="195" t="s">
        <v>442</v>
      </c>
      <c r="R71" s="195" t="s">
        <v>1</v>
      </c>
      <c r="S71" s="195" t="s">
        <v>443</v>
      </c>
      <c r="T71" s="195" t="s">
        <v>444</v>
      </c>
      <c r="U71" s="195" t="s">
        <v>445</v>
      </c>
      <c r="V71" s="195" t="s">
        <v>446</v>
      </c>
      <c r="W71" s="195" t="s">
        <v>447</v>
      </c>
      <c r="X71" s="195" t="s">
        <v>448</v>
      </c>
      <c r="Y71" s="195" t="s">
        <v>449</v>
      </c>
      <c r="Z71" s="195" t="s">
        <v>450</v>
      </c>
      <c r="AA71" s="195" t="s">
        <v>451</v>
      </c>
      <c r="AE71" s="195" t="s">
        <v>218</v>
      </c>
    </row>
    <row r="72" spans="2:31" s="196" customFormat="1" x14ac:dyDescent="0.25">
      <c r="C72" s="196" t="s">
        <v>341</v>
      </c>
      <c r="D72" s="202">
        <v>41660417</v>
      </c>
      <c r="E72" s="202">
        <v>10461053</v>
      </c>
      <c r="F72" s="202">
        <v>201032714</v>
      </c>
      <c r="G72" s="202">
        <v>17556815</v>
      </c>
      <c r="H72" s="202">
        <v>47387109</v>
      </c>
      <c r="I72" s="202">
        <v>4667096</v>
      </c>
      <c r="J72" s="202">
        <v>11061886</v>
      </c>
      <c r="K72" s="202">
        <v>10219630</v>
      </c>
      <c r="L72" s="202">
        <v>15439429</v>
      </c>
      <c r="M72" s="202">
        <v>6108590</v>
      </c>
      <c r="N72" s="202">
        <v>250109</v>
      </c>
      <c r="O72" s="202">
        <v>15438384</v>
      </c>
      <c r="P72" s="202">
        <v>9996731</v>
      </c>
      <c r="Q72" s="202">
        <v>8555072</v>
      </c>
      <c r="R72" s="202">
        <v>118395054</v>
      </c>
      <c r="S72" s="202">
        <v>5788531</v>
      </c>
      <c r="T72" s="202">
        <v>3661868</v>
      </c>
      <c r="U72" s="202">
        <v>6800284</v>
      </c>
      <c r="V72" s="202">
        <v>30475144</v>
      </c>
      <c r="W72" s="206">
        <v>3615086</v>
      </c>
      <c r="X72" s="206">
        <v>36286</v>
      </c>
      <c r="Y72" s="206">
        <v>9035</v>
      </c>
      <c r="Z72" s="206">
        <v>3324460</v>
      </c>
      <c r="AA72" s="206">
        <v>31648930</v>
      </c>
      <c r="AB72" s="206"/>
      <c r="AE72" s="202">
        <f>SUM(D72:AA72)</f>
        <v>603589713</v>
      </c>
    </row>
    <row r="73" spans="2:31" s="196" customFormat="1" x14ac:dyDescent="0.25">
      <c r="C73" s="196" t="s">
        <v>342</v>
      </c>
      <c r="D73" s="196">
        <f>D72/$AE$72</f>
        <v>6.9021085188706657E-2</v>
      </c>
      <c r="E73" s="196">
        <f t="shared" ref="E73:AA73" si="10">E72/$AE$72</f>
        <v>1.7331397097551264E-2</v>
      </c>
      <c r="F73" s="196">
        <f t="shared" si="10"/>
        <v>0.33306186250394232</v>
      </c>
      <c r="G73" s="196">
        <f t="shared" si="10"/>
        <v>2.9087333037433657E-2</v>
      </c>
      <c r="H73" s="196">
        <f t="shared" si="10"/>
        <v>7.8508808184409862E-2</v>
      </c>
      <c r="I73" s="196">
        <f t="shared" si="10"/>
        <v>7.7322325074151823E-3</v>
      </c>
      <c r="J73" s="196">
        <f t="shared" si="10"/>
        <v>1.832682990076075E-2</v>
      </c>
      <c r="K73" s="196">
        <f t="shared" si="10"/>
        <v>1.6931418445164919E-2</v>
      </c>
      <c r="L73" s="196">
        <f t="shared" si="10"/>
        <v>2.5579344159564893E-2</v>
      </c>
      <c r="M73" s="196">
        <f t="shared" si="10"/>
        <v>1.0120434242722092E-2</v>
      </c>
      <c r="N73" s="196">
        <f t="shared" si="10"/>
        <v>4.1436922235949371E-4</v>
      </c>
      <c r="O73" s="196">
        <f t="shared" si="10"/>
        <v>2.5577612851065936E-2</v>
      </c>
      <c r="P73" s="196">
        <f t="shared" si="10"/>
        <v>1.6562129513960088E-2</v>
      </c>
      <c r="Q73" s="196">
        <f t="shared" si="10"/>
        <v>1.4173654414153344E-2</v>
      </c>
      <c r="R73" s="196">
        <f t="shared" si="10"/>
        <v>0.19615154375568358</v>
      </c>
      <c r="S73" s="196">
        <f t="shared" si="10"/>
        <v>9.5901750399778607E-3</v>
      </c>
      <c r="T73" s="196">
        <f t="shared" si="10"/>
        <v>6.0668164502001706E-3</v>
      </c>
      <c r="U73" s="196">
        <f t="shared" si="10"/>
        <v>1.126640142059545E-2</v>
      </c>
      <c r="V73" s="196">
        <f t="shared" si="10"/>
        <v>5.0489833314969035E-2</v>
      </c>
      <c r="W73" s="196">
        <f t="shared" si="10"/>
        <v>5.9893101591014025E-3</v>
      </c>
      <c r="X73" s="196">
        <f t="shared" si="10"/>
        <v>6.011699540015189E-5</v>
      </c>
      <c r="Y73" s="196">
        <f t="shared" si="10"/>
        <v>1.4968777309165306E-5</v>
      </c>
      <c r="Z73" s="196">
        <f t="shared" si="10"/>
        <v>5.507814212864161E-3</v>
      </c>
      <c r="AA73" s="196">
        <f t="shared" si="10"/>
        <v>5.2434508604688561E-2</v>
      </c>
      <c r="AB73" s="206"/>
    </row>
    <row r="74" spans="2:31" s="196" customFormat="1" x14ac:dyDescent="0.25">
      <c r="C74" s="197" t="s">
        <v>452</v>
      </c>
      <c r="D74" s="197">
        <f>F73*D10</f>
        <v>-6.6612372500788469E-3</v>
      </c>
    </row>
    <row r="75" spans="2:31" s="196" customFormat="1" x14ac:dyDescent="0.25">
      <c r="C75" s="197" t="s">
        <v>453</v>
      </c>
      <c r="D75" s="197">
        <f>F73*I10</f>
        <v>-0.26311887137811446</v>
      </c>
    </row>
    <row r="76" spans="2:31" s="196" customFormat="1" x14ac:dyDescent="0.25">
      <c r="C76" s="197" t="s">
        <v>454</v>
      </c>
      <c r="D76" s="197">
        <f>R73*D10</f>
        <v>-3.9230308751136717E-3</v>
      </c>
    </row>
    <row r="77" spans="2:31" s="198" customFormat="1" x14ac:dyDescent="0.25">
      <c r="C77" s="199" t="s">
        <v>455</v>
      </c>
      <c r="D77" s="199">
        <f>R73*I10</f>
        <v>-0.15495971956699003</v>
      </c>
    </row>
    <row r="80" spans="2:31" x14ac:dyDescent="0.25">
      <c r="C80" s="192" t="s">
        <v>456</v>
      </c>
      <c r="D80" s="192" t="s">
        <v>457</v>
      </c>
      <c r="E80" s="192" t="s">
        <v>458</v>
      </c>
      <c r="F80" s="192" t="s">
        <v>459</v>
      </c>
      <c r="G80" s="192" t="s">
        <v>2</v>
      </c>
      <c r="H80" s="192" t="s">
        <v>460</v>
      </c>
      <c r="I80" s="192" t="s">
        <v>461</v>
      </c>
      <c r="J80" s="192" t="s">
        <v>462</v>
      </c>
      <c r="K80" s="192" t="s">
        <v>463</v>
      </c>
      <c r="L80" s="192" t="s">
        <v>464</v>
      </c>
      <c r="M80" s="192" t="s">
        <v>465</v>
      </c>
      <c r="N80" s="192" t="s">
        <v>466</v>
      </c>
      <c r="P80" s="192" t="s">
        <v>218</v>
      </c>
    </row>
    <row r="81" spans="2:16" x14ac:dyDescent="0.25">
      <c r="C81" s="192" t="s">
        <v>341</v>
      </c>
      <c r="D81" s="209">
        <v>434320</v>
      </c>
      <c r="E81" s="209">
        <v>15254000</v>
      </c>
      <c r="F81" s="209">
        <v>1119000</v>
      </c>
      <c r="G81" s="209">
        <v>244468000</v>
      </c>
      <c r="H81" s="209">
        <v>6376000</v>
      </c>
      <c r="I81" s="209">
        <v>29038000</v>
      </c>
      <c r="J81" s="209">
        <v>63672000</v>
      </c>
      <c r="K81" s="209">
        <v>95847000</v>
      </c>
      <c r="L81" s="209">
        <v>5366000</v>
      </c>
      <c r="M81" s="209">
        <v>64460000</v>
      </c>
      <c r="N81" s="209">
        <v>90388000</v>
      </c>
      <c r="P81" s="209">
        <f>SUM(D81:N81)</f>
        <v>616422320</v>
      </c>
    </row>
    <row r="82" spans="2:16" x14ac:dyDescent="0.25">
      <c r="C82" s="192" t="s">
        <v>342</v>
      </c>
      <c r="D82" s="192">
        <f>D81/$P$81</f>
        <v>7.0458188470527803E-4</v>
      </c>
      <c r="E82" s="192">
        <f t="shared" ref="E82:N82" si="11">E81/$P$81</f>
        <v>2.474602152628088E-2</v>
      </c>
      <c r="F82" s="192">
        <f t="shared" si="11"/>
        <v>1.8153138906456211E-3</v>
      </c>
      <c r="G82" s="192">
        <f t="shared" si="11"/>
        <v>0.39659173924785851</v>
      </c>
      <c r="H82" s="192">
        <f t="shared" si="11"/>
        <v>1.034355796850445E-2</v>
      </c>
      <c r="I82" s="192">
        <f t="shared" si="11"/>
        <v>4.7107314349032654E-2</v>
      </c>
      <c r="J82" s="192">
        <f t="shared" si="11"/>
        <v>0.10329282041571759</v>
      </c>
      <c r="K82" s="192">
        <f t="shared" si="11"/>
        <v>0.15548917826336983</v>
      </c>
      <c r="L82" s="192">
        <f t="shared" si="11"/>
        <v>8.705070900093299E-3</v>
      </c>
      <c r="M82" s="192">
        <f t="shared" si="11"/>
        <v>0.10457116478196311</v>
      </c>
      <c r="N82" s="192">
        <f t="shared" si="11"/>
        <v>0.14663323677182877</v>
      </c>
    </row>
    <row r="84" spans="2:16" x14ac:dyDescent="0.25">
      <c r="C84" s="210" t="s">
        <v>467</v>
      </c>
      <c r="D84" s="210">
        <f>G82*D14</f>
        <v>0.4798760044899088</v>
      </c>
    </row>
    <row r="85" spans="2:16" s="198" customFormat="1" x14ac:dyDescent="0.25">
      <c r="C85" s="199" t="s">
        <v>468</v>
      </c>
      <c r="D85" s="199">
        <f>G82*I14</f>
        <v>-9.121610002700746E-2</v>
      </c>
    </row>
    <row r="87" spans="2:16" x14ac:dyDescent="0.25">
      <c r="C87" s="192" t="s">
        <v>469</v>
      </c>
      <c r="D87" s="192" t="s">
        <v>59</v>
      </c>
      <c r="E87" s="192" t="s">
        <v>470</v>
      </c>
    </row>
    <row r="88" spans="2:16" x14ac:dyDescent="0.25">
      <c r="C88" s="192" t="s">
        <v>341</v>
      </c>
      <c r="D88" s="192">
        <v>6869542</v>
      </c>
      <c r="E88" s="209">
        <v>862837529</v>
      </c>
    </row>
    <row r="89" spans="2:16" x14ac:dyDescent="0.25">
      <c r="C89" s="192" t="s">
        <v>342</v>
      </c>
      <c r="D89" s="192">
        <f>D88/E88</f>
        <v>7.9615707118831178E-3</v>
      </c>
    </row>
    <row r="90" spans="2:16" x14ac:dyDescent="0.25">
      <c r="C90" s="192" t="s">
        <v>471</v>
      </c>
      <c r="D90" s="192">
        <f>D89*D18</f>
        <v>2.6989724713283772E-2</v>
      </c>
    </row>
    <row r="91" spans="2:16" x14ac:dyDescent="0.25">
      <c r="C91" s="192" t="s">
        <v>389</v>
      </c>
      <c r="D91" s="192">
        <f>D89*I18</f>
        <v>5.8119466196746763E-3</v>
      </c>
    </row>
    <row r="92" spans="2:16" x14ac:dyDescent="0.25">
      <c r="B92"/>
      <c r="C92"/>
      <c r="D92"/>
      <c r="E92"/>
      <c r="F92"/>
      <c r="G92"/>
      <c r="H92"/>
      <c r="I92"/>
      <c r="J92"/>
      <c r="K92"/>
      <c r="L92"/>
      <c r="M92"/>
    </row>
    <row r="93" spans="2:16" x14ac:dyDescent="0.25">
      <c r="B93"/>
      <c r="C93"/>
      <c r="D93"/>
      <c r="E93"/>
      <c r="F93"/>
      <c r="G93"/>
      <c r="H93"/>
      <c r="I93"/>
      <c r="J93"/>
      <c r="K93"/>
      <c r="L93"/>
      <c r="M93"/>
    </row>
    <row r="94" spans="2:16" x14ac:dyDescent="0.25">
      <c r="B94"/>
      <c r="C94"/>
      <c r="D94"/>
      <c r="E94"/>
      <c r="F94"/>
      <c r="G94"/>
      <c r="H94"/>
      <c r="I94"/>
      <c r="J94"/>
      <c r="K94"/>
    </row>
    <row r="95" spans="2:16" x14ac:dyDescent="0.25">
      <c r="B95"/>
      <c r="C95"/>
      <c r="D95"/>
      <c r="E95"/>
      <c r="F95"/>
      <c r="G95"/>
      <c r="H95"/>
      <c r="I95"/>
      <c r="J95"/>
      <c r="K95"/>
    </row>
    <row r="96" spans="2:16" x14ac:dyDescent="0.25">
      <c r="B96"/>
      <c r="C96"/>
      <c r="D96"/>
      <c r="E96"/>
      <c r="F96"/>
      <c r="G96"/>
      <c r="H96"/>
      <c r="I96"/>
      <c r="J96"/>
      <c r="K96"/>
    </row>
    <row r="97" spans="2:11" x14ac:dyDescent="0.25">
      <c r="B97"/>
      <c r="C97"/>
      <c r="D97"/>
      <c r="E97"/>
      <c r="F97"/>
      <c r="G97"/>
      <c r="H97"/>
      <c r="I97"/>
      <c r="J97"/>
      <c r="K97"/>
    </row>
    <row r="98" spans="2:11" x14ac:dyDescent="0.25">
      <c r="B98"/>
      <c r="C98"/>
      <c r="D98"/>
      <c r="E98"/>
      <c r="F98"/>
      <c r="G98"/>
      <c r="H98"/>
      <c r="I98"/>
      <c r="J98"/>
      <c r="K98"/>
    </row>
    <row r="99" spans="2:11" x14ac:dyDescent="0.25">
      <c r="B99"/>
      <c r="C99"/>
      <c r="D99"/>
      <c r="E99"/>
      <c r="F99"/>
      <c r="G99"/>
      <c r="H99"/>
      <c r="I99"/>
      <c r="J99"/>
      <c r="K99"/>
    </row>
    <row r="100" spans="2:11" x14ac:dyDescent="0.25">
      <c r="B100"/>
      <c r="C100"/>
      <c r="D100"/>
      <c r="E100"/>
      <c r="F100"/>
      <c r="G100"/>
      <c r="H100"/>
      <c r="I100"/>
      <c r="J100"/>
      <c r="K100"/>
    </row>
    <row r="101" spans="2:11" x14ac:dyDescent="0.25">
      <c r="B101"/>
      <c r="C101"/>
      <c r="D101"/>
      <c r="E101"/>
      <c r="F101"/>
      <c r="G101"/>
      <c r="H101"/>
      <c r="I101"/>
      <c r="J101"/>
      <c r="K101"/>
    </row>
    <row r="102" spans="2:11" x14ac:dyDescent="0.25">
      <c r="B102"/>
      <c r="C102"/>
      <c r="D102"/>
      <c r="E102"/>
      <c r="F102"/>
      <c r="G102"/>
      <c r="H102"/>
      <c r="I102"/>
      <c r="J102"/>
      <c r="K102"/>
    </row>
    <row r="103" spans="2:11" x14ac:dyDescent="0.25">
      <c r="B103"/>
      <c r="C103"/>
      <c r="D103"/>
      <c r="E103"/>
      <c r="F103"/>
      <c r="G103"/>
      <c r="H103"/>
      <c r="I103"/>
      <c r="J103"/>
      <c r="K103"/>
    </row>
    <row r="104" spans="2:11" x14ac:dyDescent="0.25">
      <c r="B104"/>
      <c r="C104"/>
      <c r="D104"/>
      <c r="E104"/>
      <c r="F104"/>
      <c r="G104"/>
      <c r="H104"/>
      <c r="I104"/>
      <c r="J104"/>
      <c r="K104"/>
    </row>
    <row r="105" spans="2:11" x14ac:dyDescent="0.25">
      <c r="B105"/>
      <c r="C105"/>
      <c r="D105"/>
      <c r="E105"/>
      <c r="F105"/>
      <c r="G105"/>
      <c r="H105"/>
      <c r="I105"/>
      <c r="J105"/>
      <c r="K105"/>
    </row>
    <row r="106" spans="2:11" x14ac:dyDescent="0.25">
      <c r="B106"/>
      <c r="C106"/>
      <c r="D106"/>
      <c r="E106"/>
      <c r="F106"/>
      <c r="G106"/>
      <c r="H106"/>
      <c r="I106"/>
      <c r="J106"/>
      <c r="K106"/>
    </row>
    <row r="107" spans="2:11" x14ac:dyDescent="0.25">
      <c r="B107"/>
      <c r="C107"/>
      <c r="D107"/>
      <c r="E107"/>
      <c r="F107"/>
      <c r="G107"/>
      <c r="H107"/>
      <c r="I107"/>
      <c r="J107"/>
      <c r="K107"/>
    </row>
    <row r="108" spans="2:11" x14ac:dyDescent="0.25">
      <c r="B108"/>
      <c r="C108"/>
      <c r="D108"/>
      <c r="E108"/>
      <c r="F108"/>
      <c r="G108"/>
      <c r="H108"/>
      <c r="I108"/>
      <c r="J108"/>
      <c r="K108"/>
    </row>
    <row r="109" spans="2:11" x14ac:dyDescent="0.25">
      <c r="B109"/>
      <c r="C109"/>
      <c r="D109"/>
      <c r="E109"/>
      <c r="F109"/>
      <c r="G109"/>
      <c r="H109"/>
      <c r="I109"/>
      <c r="J109"/>
      <c r="K109"/>
    </row>
    <row r="110" spans="2:11" x14ac:dyDescent="0.25">
      <c r="B110"/>
      <c r="C110"/>
      <c r="D110"/>
      <c r="E110"/>
      <c r="F110"/>
      <c r="G110"/>
      <c r="H110"/>
      <c r="I110"/>
      <c r="J110"/>
      <c r="K110"/>
    </row>
    <row r="111" spans="2:11" x14ac:dyDescent="0.25">
      <c r="B111"/>
      <c r="C111"/>
      <c r="D111"/>
      <c r="E111"/>
      <c r="F111"/>
      <c r="G111"/>
      <c r="H111"/>
      <c r="I111"/>
      <c r="J111"/>
      <c r="K111"/>
    </row>
    <row r="112" spans="2:11" x14ac:dyDescent="0.25">
      <c r="B112"/>
      <c r="C112"/>
      <c r="D112"/>
      <c r="E112"/>
      <c r="F112"/>
      <c r="G112"/>
      <c r="H112"/>
      <c r="I112"/>
      <c r="J112"/>
      <c r="K112"/>
    </row>
    <row r="113" spans="2:11" x14ac:dyDescent="0.25">
      <c r="B113"/>
      <c r="C113"/>
      <c r="D113"/>
      <c r="E113"/>
      <c r="F113"/>
      <c r="G113"/>
      <c r="H113"/>
      <c r="I113"/>
      <c r="J113"/>
      <c r="K113"/>
    </row>
    <row r="114" spans="2:11" x14ac:dyDescent="0.25">
      <c r="B114"/>
      <c r="C114"/>
      <c r="D114"/>
      <c r="E114"/>
      <c r="F114"/>
      <c r="G114"/>
      <c r="H114"/>
      <c r="I114"/>
      <c r="J114"/>
      <c r="K114"/>
    </row>
    <row r="115" spans="2:11" x14ac:dyDescent="0.25">
      <c r="B115"/>
      <c r="C115"/>
      <c r="D115"/>
      <c r="E115"/>
      <c r="F115"/>
      <c r="G115"/>
      <c r="H115"/>
      <c r="I115"/>
      <c r="J115"/>
      <c r="K115"/>
    </row>
    <row r="116" spans="2:11" x14ac:dyDescent="0.25">
      <c r="B116"/>
      <c r="C116"/>
      <c r="D116"/>
      <c r="E116"/>
      <c r="F116"/>
      <c r="G116"/>
      <c r="H116"/>
      <c r="I116"/>
      <c r="J116"/>
      <c r="K116"/>
    </row>
    <row r="117" spans="2:11" x14ac:dyDescent="0.25">
      <c r="B117"/>
      <c r="C117"/>
      <c r="D117"/>
      <c r="E117"/>
      <c r="F117"/>
      <c r="G117"/>
      <c r="H117"/>
      <c r="I117"/>
      <c r="J117"/>
      <c r="K117"/>
    </row>
    <row r="118" spans="2:11" x14ac:dyDescent="0.25">
      <c r="B118"/>
      <c r="C118"/>
      <c r="D118"/>
      <c r="E118"/>
      <c r="F118"/>
      <c r="G118"/>
      <c r="H118"/>
      <c r="I118"/>
      <c r="J118"/>
      <c r="K118"/>
    </row>
    <row r="119" spans="2:11" x14ac:dyDescent="0.25">
      <c r="B119"/>
      <c r="C119"/>
      <c r="D119"/>
      <c r="E119"/>
      <c r="F119"/>
      <c r="G119"/>
      <c r="H119"/>
      <c r="I119"/>
      <c r="J119"/>
      <c r="K119"/>
    </row>
    <row r="120" spans="2:11" x14ac:dyDescent="0.25">
      <c r="B120"/>
      <c r="C120"/>
      <c r="D120"/>
      <c r="E120"/>
      <c r="F120"/>
      <c r="G120"/>
      <c r="H120"/>
      <c r="I120"/>
      <c r="J120"/>
      <c r="K120"/>
    </row>
    <row r="121" spans="2:11" x14ac:dyDescent="0.25">
      <c r="B121"/>
      <c r="C121"/>
      <c r="D121"/>
      <c r="E121"/>
      <c r="F121"/>
      <c r="G121"/>
      <c r="H121"/>
      <c r="I121"/>
      <c r="J121"/>
      <c r="K121"/>
    </row>
    <row r="122" spans="2:11" x14ac:dyDescent="0.25">
      <c r="B122"/>
      <c r="C122"/>
      <c r="D122"/>
      <c r="E122"/>
      <c r="F122"/>
      <c r="G122"/>
      <c r="H122"/>
      <c r="I122"/>
      <c r="J122"/>
      <c r="K122"/>
    </row>
    <row r="123" spans="2:11" x14ac:dyDescent="0.25">
      <c r="B123"/>
      <c r="C123"/>
      <c r="D123"/>
      <c r="E123"/>
      <c r="F123"/>
      <c r="G123"/>
      <c r="H123"/>
      <c r="I123"/>
      <c r="J123"/>
      <c r="K123"/>
    </row>
    <row r="124" spans="2:11" x14ac:dyDescent="0.25">
      <c r="B124"/>
      <c r="C124"/>
      <c r="D124"/>
      <c r="E124"/>
      <c r="F124"/>
      <c r="G124"/>
      <c r="H124"/>
      <c r="I124"/>
      <c r="J124"/>
      <c r="K124"/>
    </row>
    <row r="125" spans="2:11" x14ac:dyDescent="0.25">
      <c r="B125"/>
      <c r="C125"/>
      <c r="D125"/>
      <c r="E125"/>
      <c r="F125"/>
      <c r="G125"/>
      <c r="H125"/>
      <c r="I125"/>
      <c r="J125"/>
      <c r="K125"/>
    </row>
    <row r="126" spans="2:11" x14ac:dyDescent="0.25">
      <c r="B126"/>
      <c r="C126"/>
      <c r="D126"/>
      <c r="E126"/>
      <c r="F126"/>
      <c r="G126"/>
      <c r="H126"/>
      <c r="I126"/>
      <c r="J126"/>
      <c r="K126"/>
    </row>
    <row r="127" spans="2:11" x14ac:dyDescent="0.25">
      <c r="B127"/>
      <c r="C127"/>
      <c r="D127"/>
      <c r="E127"/>
      <c r="F127"/>
      <c r="G127"/>
      <c r="H127"/>
      <c r="I127"/>
      <c r="J127"/>
      <c r="K127"/>
    </row>
    <row r="128" spans="2:11" x14ac:dyDescent="0.25">
      <c r="B128"/>
      <c r="C128"/>
      <c r="D128"/>
      <c r="E128"/>
      <c r="F128"/>
      <c r="G128"/>
      <c r="H128"/>
      <c r="I128"/>
      <c r="J128"/>
      <c r="K128"/>
    </row>
    <row r="129" spans="2:11" x14ac:dyDescent="0.25">
      <c r="B129"/>
      <c r="C129"/>
      <c r="D129"/>
      <c r="E129"/>
      <c r="F129"/>
      <c r="G129"/>
      <c r="H129"/>
      <c r="I129"/>
      <c r="J129"/>
      <c r="K129"/>
    </row>
    <row r="130" spans="2:11" x14ac:dyDescent="0.25">
      <c r="B130"/>
      <c r="C130"/>
      <c r="D130"/>
      <c r="E130"/>
      <c r="F130"/>
      <c r="G130"/>
      <c r="H130"/>
      <c r="I130"/>
      <c r="J130"/>
      <c r="K130"/>
    </row>
    <row r="131" spans="2:11" x14ac:dyDescent="0.25">
      <c r="B131"/>
      <c r="C131"/>
      <c r="D131"/>
      <c r="E131"/>
      <c r="F131"/>
      <c r="G131"/>
      <c r="H131"/>
      <c r="I131"/>
      <c r="J131"/>
      <c r="K131"/>
    </row>
    <row r="132" spans="2:11" x14ac:dyDescent="0.25">
      <c r="B132"/>
      <c r="C132"/>
      <c r="D132"/>
      <c r="E132"/>
      <c r="F132"/>
      <c r="G132"/>
      <c r="H132"/>
      <c r="I132"/>
      <c r="J132"/>
      <c r="K132"/>
    </row>
    <row r="133" spans="2:11" x14ac:dyDescent="0.25">
      <c r="B133"/>
      <c r="C133"/>
      <c r="D133"/>
      <c r="E133"/>
      <c r="F133"/>
      <c r="G133"/>
      <c r="H133"/>
      <c r="I133"/>
      <c r="J133"/>
      <c r="K133"/>
    </row>
    <row r="134" spans="2:11" x14ac:dyDescent="0.25">
      <c r="B134"/>
      <c r="C134"/>
      <c r="D134"/>
      <c r="E134"/>
      <c r="F134"/>
      <c r="G134"/>
      <c r="H134"/>
      <c r="I134"/>
      <c r="J134"/>
      <c r="K134"/>
    </row>
    <row r="135" spans="2:11" x14ac:dyDescent="0.25">
      <c r="B135"/>
      <c r="C135"/>
      <c r="D135"/>
      <c r="E135"/>
      <c r="F135"/>
      <c r="G135"/>
      <c r="H135"/>
      <c r="I135"/>
      <c r="J135"/>
      <c r="K135"/>
    </row>
    <row r="136" spans="2:11" x14ac:dyDescent="0.25">
      <c r="B136"/>
      <c r="C136"/>
      <c r="D136"/>
      <c r="E136"/>
      <c r="F136"/>
      <c r="G136"/>
      <c r="H136"/>
      <c r="I136"/>
      <c r="J136"/>
      <c r="K136"/>
    </row>
    <row r="137" spans="2:11" x14ac:dyDescent="0.25">
      <c r="B137"/>
      <c r="C137"/>
      <c r="D137"/>
      <c r="E137"/>
      <c r="F137"/>
      <c r="G137"/>
      <c r="H137"/>
      <c r="I137"/>
      <c r="J137"/>
      <c r="K137"/>
    </row>
    <row r="138" spans="2:11" x14ac:dyDescent="0.25">
      <c r="B138"/>
      <c r="C138"/>
      <c r="D138"/>
      <c r="E138"/>
      <c r="F138"/>
      <c r="G138"/>
      <c r="H138"/>
      <c r="I138"/>
      <c r="J138"/>
      <c r="K138"/>
    </row>
    <row r="139" spans="2:11" x14ac:dyDescent="0.25">
      <c r="B139"/>
      <c r="C139"/>
      <c r="D139"/>
      <c r="E139"/>
      <c r="F139"/>
      <c r="G139"/>
      <c r="H139"/>
      <c r="I139"/>
      <c r="J139"/>
      <c r="K139"/>
    </row>
    <row r="140" spans="2:11" x14ac:dyDescent="0.25">
      <c r="B140"/>
      <c r="C140"/>
      <c r="D140"/>
      <c r="E140"/>
      <c r="F140"/>
      <c r="G140"/>
      <c r="H140"/>
      <c r="I140"/>
      <c r="J140"/>
      <c r="K140"/>
    </row>
    <row r="141" spans="2:11" x14ac:dyDescent="0.25">
      <c r="B141"/>
      <c r="C141"/>
      <c r="D141"/>
      <c r="E141"/>
      <c r="F141"/>
      <c r="G141"/>
      <c r="H141"/>
      <c r="I141"/>
      <c r="J141"/>
      <c r="K141"/>
    </row>
    <row r="142" spans="2:11" x14ac:dyDescent="0.25">
      <c r="B142"/>
      <c r="C142"/>
      <c r="D142"/>
      <c r="E142"/>
      <c r="F142"/>
      <c r="G142"/>
      <c r="H142"/>
      <c r="I142"/>
      <c r="J142"/>
      <c r="K142"/>
    </row>
  </sheetData>
  <hyperlinks>
    <hyperlink ref="E52" r:id="rId1" tooltip="Andorra" display="http://en.wikipedia.org/wiki/Andorra"/>
    <hyperlink ref="B71"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workbookViewId="0">
      <selection activeCell="J24" sqref="J24"/>
    </sheetView>
  </sheetViews>
  <sheetFormatPr defaultRowHeight="15" x14ac:dyDescent="0.25"/>
  <cols>
    <col min="1" max="1" width="10.85546875" bestFit="1" customWidth="1"/>
  </cols>
  <sheetData>
    <row r="1" spans="1:6" x14ac:dyDescent="0.25">
      <c r="A1" t="s">
        <v>557</v>
      </c>
    </row>
    <row r="2" spans="1:6" x14ac:dyDescent="0.25">
      <c r="B2" t="s">
        <v>482</v>
      </c>
    </row>
    <row r="3" spans="1:6" x14ac:dyDescent="0.25">
      <c r="B3">
        <v>2005</v>
      </c>
      <c r="C3">
        <v>2030</v>
      </c>
      <c r="D3">
        <v>2020</v>
      </c>
      <c r="E3">
        <v>2030</v>
      </c>
      <c r="F3" t="s">
        <v>509</v>
      </c>
    </row>
    <row r="4" spans="1:6" x14ac:dyDescent="0.25">
      <c r="A4" t="s">
        <v>83</v>
      </c>
      <c r="B4">
        <v>0.59</v>
      </c>
      <c r="C4">
        <v>0.82</v>
      </c>
      <c r="D4" t="s">
        <v>510</v>
      </c>
      <c r="E4">
        <f>C4+F4</f>
        <v>0.55999999999999994</v>
      </c>
      <c r="F4">
        <v>-0.26</v>
      </c>
    </row>
    <row r="5" spans="1:6" x14ac:dyDescent="0.25">
      <c r="A5" t="s">
        <v>85</v>
      </c>
      <c r="B5">
        <v>1.2</v>
      </c>
      <c r="C5">
        <v>1.2</v>
      </c>
      <c r="D5" t="s">
        <v>510</v>
      </c>
      <c r="E5">
        <f>C5+F5</f>
        <v>-0.16000000000000014</v>
      </c>
      <c r="F5">
        <v>-1.36</v>
      </c>
    </row>
    <row r="10" spans="1:6" x14ac:dyDescent="0.25">
      <c r="A10" t="s">
        <v>493</v>
      </c>
    </row>
    <row r="13" spans="1:6" s="259" customFormat="1" x14ac:dyDescent="0.25"/>
    <row r="17" spans="1:36" s="192" customFormat="1" x14ac:dyDescent="0.25">
      <c r="A17" s="192" t="s">
        <v>472</v>
      </c>
    </row>
    <row r="18" spans="1:36" s="192" customFormat="1" x14ac:dyDescent="0.25"/>
    <row r="19" spans="1:36" s="194" customFormat="1" x14ac:dyDescent="0.25">
      <c r="E19" s="211" t="s">
        <v>473</v>
      </c>
    </row>
    <row r="20" spans="1:36" s="192" customFormat="1" x14ac:dyDescent="0.25">
      <c r="G20" s="192">
        <v>2003</v>
      </c>
      <c r="H20" s="192">
        <v>2004</v>
      </c>
      <c r="I20" s="192">
        <v>2005</v>
      </c>
      <c r="J20" s="192">
        <v>2006</v>
      </c>
      <c r="K20" s="192">
        <v>2007</v>
      </c>
      <c r="L20" s="192">
        <v>2008</v>
      </c>
      <c r="O20" s="192">
        <v>2009</v>
      </c>
      <c r="P20" s="192">
        <v>2010</v>
      </c>
      <c r="Q20" s="192">
        <v>2011</v>
      </c>
      <c r="R20" s="192">
        <v>2012</v>
      </c>
      <c r="S20" s="192">
        <v>2013</v>
      </c>
      <c r="T20" s="192">
        <v>2014</v>
      </c>
      <c r="U20" s="192">
        <v>2015</v>
      </c>
      <c r="V20" s="192">
        <v>2016</v>
      </c>
      <c r="W20" s="192">
        <v>2017</v>
      </c>
      <c r="X20" s="192">
        <v>2018</v>
      </c>
      <c r="Y20" s="192">
        <v>2019</v>
      </c>
      <c r="Z20" s="192">
        <v>2020</v>
      </c>
      <c r="AA20" s="192">
        <v>2021</v>
      </c>
      <c r="AB20" s="192">
        <v>2022</v>
      </c>
      <c r="AC20" s="192">
        <v>2023</v>
      </c>
      <c r="AD20" s="192">
        <v>2024</v>
      </c>
      <c r="AE20" s="192">
        <v>2025</v>
      </c>
      <c r="AF20" s="192">
        <v>2026</v>
      </c>
      <c r="AG20" s="192">
        <v>2027</v>
      </c>
      <c r="AH20" s="192">
        <v>2028</v>
      </c>
      <c r="AI20" s="192">
        <v>2029</v>
      </c>
      <c r="AJ20" s="192">
        <v>2030</v>
      </c>
    </row>
    <row r="21" spans="1:36" s="192" customFormat="1" ht="60" x14ac:dyDescent="0.25">
      <c r="E21" s="192" t="s">
        <v>474</v>
      </c>
      <c r="F21" s="194" t="s">
        <v>475</v>
      </c>
      <c r="G21" s="192">
        <v>971</v>
      </c>
      <c r="H21" s="192">
        <v>951</v>
      </c>
      <c r="I21" s="192">
        <v>872</v>
      </c>
      <c r="J21" s="192">
        <v>559</v>
      </c>
      <c r="K21" s="192">
        <v>532</v>
      </c>
      <c r="L21" s="192">
        <v>552</v>
      </c>
    </row>
    <row r="22" spans="1:36" s="192" customFormat="1" x14ac:dyDescent="0.25">
      <c r="F22" s="192" t="s">
        <v>476</v>
      </c>
      <c r="J22" s="192">
        <v>57.7</v>
      </c>
      <c r="K22" s="192">
        <v>57.2</v>
      </c>
      <c r="L22" s="192">
        <v>57.4</v>
      </c>
    </row>
    <row r="23" spans="1:36" s="192" customFormat="1" ht="105" x14ac:dyDescent="0.25">
      <c r="F23" s="194" t="s">
        <v>477</v>
      </c>
      <c r="G23" s="192">
        <v>0.16</v>
      </c>
      <c r="H23" s="192">
        <v>0.2</v>
      </c>
      <c r="I23" s="192">
        <v>0.25</v>
      </c>
      <c r="J23" s="192">
        <v>0.09</v>
      </c>
      <c r="K23" s="192">
        <v>0.47</v>
      </c>
      <c r="L23" s="192">
        <v>0.1</v>
      </c>
    </row>
    <row r="24" spans="1:36" s="192" customFormat="1" ht="150" x14ac:dyDescent="0.25">
      <c r="E24" s="192" t="s">
        <v>478</v>
      </c>
      <c r="F24" s="194" t="s">
        <v>475</v>
      </c>
      <c r="G24" s="192">
        <v>241.6</v>
      </c>
      <c r="H24" s="192">
        <v>241.6</v>
      </c>
      <c r="I24" s="192">
        <v>241.6</v>
      </c>
      <c r="J24" s="192">
        <v>241.6</v>
      </c>
      <c r="K24" s="192">
        <v>241.6</v>
      </c>
      <c r="L24" s="192">
        <v>241.6</v>
      </c>
    </row>
    <row r="25" spans="1:36" s="192" customFormat="1" x14ac:dyDescent="0.25">
      <c r="F25" s="192" t="s">
        <v>476</v>
      </c>
      <c r="J25" s="192">
        <v>94.1</v>
      </c>
      <c r="K25" s="192">
        <v>91.9</v>
      </c>
      <c r="L25" s="192">
        <v>92.2</v>
      </c>
    </row>
    <row r="26" spans="1:36" s="192" customFormat="1" ht="105" x14ac:dyDescent="0.25">
      <c r="F26" s="194" t="s">
        <v>477</v>
      </c>
      <c r="G26" s="192">
        <v>0.23</v>
      </c>
      <c r="H26" s="192">
        <v>0.25</v>
      </c>
      <c r="I26" s="192">
        <v>0.19</v>
      </c>
      <c r="J26" s="192">
        <v>0.15</v>
      </c>
      <c r="K26" s="192">
        <v>0.53</v>
      </c>
      <c r="L26" s="192">
        <v>0.34</v>
      </c>
    </row>
    <row r="27" spans="1:36" s="192" customFormat="1" x14ac:dyDescent="0.25">
      <c r="E27" s="192" t="s">
        <v>479</v>
      </c>
      <c r="F27" s="192" t="s">
        <v>476</v>
      </c>
      <c r="J27" s="192">
        <v>87.2</v>
      </c>
      <c r="K27" s="192">
        <v>84.3</v>
      </c>
      <c r="L27" s="192">
        <v>84.3</v>
      </c>
    </row>
    <row r="28" spans="1:36" s="192" customFormat="1" ht="105" x14ac:dyDescent="0.25">
      <c r="F28" s="194" t="s">
        <v>477</v>
      </c>
      <c r="G28" s="192">
        <v>0.12</v>
      </c>
      <c r="H28" s="192">
        <v>0.06</v>
      </c>
      <c r="I28" s="192">
        <v>0.06</v>
      </c>
      <c r="J28" s="192">
        <v>0.06</v>
      </c>
      <c r="K28" s="192">
        <v>0.1</v>
      </c>
      <c r="L28" s="192">
        <v>0.05</v>
      </c>
    </row>
    <row r="29" spans="1:36" s="192" customFormat="1" x14ac:dyDescent="0.25"/>
    <row r="30" spans="1:36" s="192" customFormat="1" x14ac:dyDescent="0.25">
      <c r="E30" s="192" t="s">
        <v>218</v>
      </c>
      <c r="G30" s="192">
        <f t="shared" ref="G30:L30" si="0">SUM(G21:G28)</f>
        <v>1213.1099999999999</v>
      </c>
      <c r="H30" s="192">
        <f t="shared" si="0"/>
        <v>1193.1099999999999</v>
      </c>
      <c r="I30" s="192">
        <f t="shared" si="0"/>
        <v>1114.0999999999999</v>
      </c>
      <c r="J30" s="192">
        <f t="shared" si="0"/>
        <v>1039.9000000000001</v>
      </c>
      <c r="K30" s="192">
        <f t="shared" si="0"/>
        <v>1008.1</v>
      </c>
      <c r="L30" s="192">
        <f t="shared" si="0"/>
        <v>1027.99</v>
      </c>
      <c r="O30" s="192">
        <f>L30-O33</f>
        <v>990.96600000000001</v>
      </c>
      <c r="P30" s="192">
        <f t="shared" ref="P30:AJ30" si="1">O30-$O$33</f>
        <v>953.94200000000001</v>
      </c>
      <c r="Q30" s="192">
        <f t="shared" si="1"/>
        <v>916.91800000000001</v>
      </c>
      <c r="R30" s="192">
        <f t="shared" si="1"/>
        <v>879.89400000000001</v>
      </c>
      <c r="S30" s="192">
        <f t="shared" si="1"/>
        <v>842.87</v>
      </c>
      <c r="T30" s="192">
        <f t="shared" si="1"/>
        <v>805.846</v>
      </c>
      <c r="U30" s="192">
        <f t="shared" si="1"/>
        <v>768.822</v>
      </c>
      <c r="V30" s="192">
        <f t="shared" si="1"/>
        <v>731.798</v>
      </c>
      <c r="W30" s="192">
        <f t="shared" si="1"/>
        <v>694.774</v>
      </c>
      <c r="X30" s="192">
        <f t="shared" si="1"/>
        <v>657.75</v>
      </c>
      <c r="Y30" s="192">
        <f t="shared" si="1"/>
        <v>620.726</v>
      </c>
      <c r="Z30" s="192">
        <f t="shared" si="1"/>
        <v>583.702</v>
      </c>
      <c r="AA30" s="192">
        <f t="shared" si="1"/>
        <v>546.678</v>
      </c>
      <c r="AB30" s="192">
        <f t="shared" si="1"/>
        <v>509.654</v>
      </c>
      <c r="AC30" s="192">
        <f t="shared" si="1"/>
        <v>472.63</v>
      </c>
      <c r="AD30" s="192">
        <f t="shared" si="1"/>
        <v>435.60599999999999</v>
      </c>
      <c r="AE30" s="192">
        <f t="shared" si="1"/>
        <v>398.58199999999999</v>
      </c>
      <c r="AF30" s="192">
        <f t="shared" si="1"/>
        <v>361.55799999999999</v>
      </c>
      <c r="AG30" s="192">
        <f t="shared" si="1"/>
        <v>324.53399999999999</v>
      </c>
      <c r="AH30" s="192">
        <f t="shared" si="1"/>
        <v>287.51</v>
      </c>
      <c r="AI30" s="192">
        <f t="shared" si="1"/>
        <v>250.48599999999999</v>
      </c>
      <c r="AJ30" s="192">
        <f t="shared" si="1"/>
        <v>213.46199999999999</v>
      </c>
    </row>
    <row r="31" spans="1:36" s="192" customFormat="1" ht="75" x14ac:dyDescent="0.25">
      <c r="N31" s="194" t="s">
        <v>480</v>
      </c>
      <c r="O31" s="192">
        <f>((SUM(L30-G30))/L30)/5</f>
        <v>-3.6015914551697954E-2</v>
      </c>
    </row>
    <row r="32" spans="1:36" s="192" customFormat="1" x14ac:dyDescent="0.25"/>
    <row r="33" spans="15:36" s="192" customFormat="1" x14ac:dyDescent="0.25">
      <c r="O33" s="192">
        <v>37.024000000000001</v>
      </c>
    </row>
    <row r="34" spans="15:36" s="192" customFormat="1" x14ac:dyDescent="0.25"/>
    <row r="35" spans="15:36" s="192" customFormat="1" x14ac:dyDescent="0.25"/>
    <row r="36" spans="15:36" s="192" customFormat="1" x14ac:dyDescent="0.25">
      <c r="O36" s="192">
        <v>990.96600000000001</v>
      </c>
      <c r="P36" s="192">
        <v>953.94200000000001</v>
      </c>
      <c r="Q36" s="192">
        <v>916.91800000000001</v>
      </c>
      <c r="R36" s="192">
        <v>879.89400000000001</v>
      </c>
      <c r="S36" s="192">
        <v>842.87</v>
      </c>
      <c r="T36" s="192">
        <v>805.846</v>
      </c>
      <c r="U36" s="192">
        <v>768.822</v>
      </c>
      <c r="V36" s="192">
        <v>731.798</v>
      </c>
      <c r="W36" s="192">
        <v>694.774</v>
      </c>
      <c r="X36" s="192">
        <v>657.75</v>
      </c>
      <c r="Y36" s="192">
        <v>620.726</v>
      </c>
      <c r="Z36" s="192">
        <v>583.702</v>
      </c>
      <c r="AA36" s="192">
        <v>546.678</v>
      </c>
      <c r="AB36" s="192">
        <v>509.654</v>
      </c>
      <c r="AC36" s="192">
        <v>472.63</v>
      </c>
      <c r="AD36" s="192">
        <v>435.60599999999999</v>
      </c>
      <c r="AE36" s="192">
        <v>398.58199999999999</v>
      </c>
      <c r="AF36" s="192">
        <v>361.55799999999999</v>
      </c>
      <c r="AG36" s="192">
        <v>324.53399999999999</v>
      </c>
      <c r="AH36" s="192">
        <v>287.51</v>
      </c>
      <c r="AI36" s="192">
        <v>250.48599999999999</v>
      </c>
      <c r="AJ36" s="192">
        <v>213.46199999999999</v>
      </c>
    </row>
    <row r="37" spans="15:36" s="192" customFormat="1" x14ac:dyDescent="0.25">
      <c r="O37" s="192">
        <f t="shared" ref="O37:AJ37" si="2">O36/1000</f>
        <v>0.99096600000000001</v>
      </c>
      <c r="P37" s="192">
        <f t="shared" si="2"/>
        <v>0.95394199999999996</v>
      </c>
      <c r="Q37" s="192">
        <f t="shared" si="2"/>
        <v>0.91691800000000001</v>
      </c>
      <c r="R37" s="192">
        <f t="shared" si="2"/>
        <v>0.87989399999999995</v>
      </c>
      <c r="S37" s="192">
        <f t="shared" si="2"/>
        <v>0.84287000000000001</v>
      </c>
      <c r="T37" s="192">
        <f t="shared" si="2"/>
        <v>0.80584599999999995</v>
      </c>
      <c r="U37" s="192">
        <f t="shared" si="2"/>
        <v>0.76882200000000001</v>
      </c>
      <c r="V37" s="192">
        <f t="shared" si="2"/>
        <v>0.73179799999999995</v>
      </c>
      <c r="W37" s="192">
        <f t="shared" si="2"/>
        <v>0.694774</v>
      </c>
      <c r="X37" s="192">
        <f t="shared" si="2"/>
        <v>0.65774999999999995</v>
      </c>
      <c r="Y37" s="192">
        <f t="shared" si="2"/>
        <v>0.620726</v>
      </c>
      <c r="Z37" s="192">
        <f t="shared" si="2"/>
        <v>0.58370199999999994</v>
      </c>
      <c r="AA37" s="192">
        <f t="shared" si="2"/>
        <v>0.546678</v>
      </c>
      <c r="AB37" s="192">
        <f t="shared" si="2"/>
        <v>0.50965400000000005</v>
      </c>
      <c r="AC37" s="192">
        <f t="shared" si="2"/>
        <v>0.47262999999999999</v>
      </c>
      <c r="AD37" s="192">
        <f t="shared" si="2"/>
        <v>0.43560599999999999</v>
      </c>
      <c r="AE37" s="192">
        <f t="shared" si="2"/>
        <v>0.39858199999999999</v>
      </c>
      <c r="AF37" s="192">
        <f t="shared" si="2"/>
        <v>0.36155799999999999</v>
      </c>
      <c r="AG37" s="192">
        <f t="shared" si="2"/>
        <v>0.32453399999999999</v>
      </c>
      <c r="AH37" s="192">
        <f t="shared" si="2"/>
        <v>0.28750999999999999</v>
      </c>
      <c r="AI37" s="192">
        <f t="shared" si="2"/>
        <v>0.25048599999999999</v>
      </c>
      <c r="AJ37" s="192">
        <f t="shared" si="2"/>
        <v>0.21346199999999999</v>
      </c>
    </row>
    <row r="38" spans="15:36" s="192" customFormat="1" x14ac:dyDescent="0.25"/>
    <row r="39" spans="15:36" s="192" customForma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70" zoomScaleNormal="70" workbookViewId="0">
      <selection activeCell="H43" sqref="H43"/>
    </sheetView>
  </sheetViews>
  <sheetFormatPr defaultRowHeight="15" x14ac:dyDescent="0.25"/>
  <cols>
    <col min="1" max="1" width="37.5703125" customWidth="1"/>
    <col min="2" max="2" width="22.85546875" customWidth="1"/>
    <col min="3" max="3" width="18.140625" customWidth="1"/>
    <col min="4" max="4" width="29.42578125" customWidth="1"/>
    <col min="5" max="5" width="16.140625" customWidth="1"/>
    <col min="6" max="6" width="19.42578125" customWidth="1"/>
    <col min="7" max="7" width="23.42578125" customWidth="1"/>
    <col min="8" max="10" width="37.5703125" customWidth="1"/>
    <col min="11" max="11" width="13.28515625" customWidth="1"/>
    <col min="12" max="13" width="37.140625" customWidth="1"/>
    <col min="14" max="14" width="40.140625" customWidth="1"/>
    <col min="15" max="15" width="25.7109375" customWidth="1"/>
    <col min="16" max="16" width="25" customWidth="1"/>
    <col min="17" max="17" width="20.140625" customWidth="1"/>
  </cols>
  <sheetData>
    <row r="1" spans="1:12" s="149" customFormat="1" x14ac:dyDescent="0.25">
      <c r="A1" s="187" t="s">
        <v>63</v>
      </c>
    </row>
    <row r="2" spans="1:12" s="149" customFormat="1" x14ac:dyDescent="0.25">
      <c r="A2" s="251"/>
    </row>
    <row r="3" spans="1:12" s="252" customFormat="1" ht="75" customHeight="1" x14ac:dyDescent="0.25">
      <c r="B3" s="253" t="s">
        <v>548</v>
      </c>
      <c r="C3" s="253" t="s">
        <v>261</v>
      </c>
      <c r="D3" s="253" t="s">
        <v>548</v>
      </c>
      <c r="E3" s="253" t="s">
        <v>549</v>
      </c>
      <c r="F3" s="253" t="s">
        <v>552</v>
      </c>
      <c r="G3" s="253"/>
    </row>
    <row r="4" spans="1:12" s="254" customFormat="1" x14ac:dyDescent="0.25">
      <c r="B4" s="254">
        <v>2005</v>
      </c>
      <c r="C4" s="254">
        <v>2020</v>
      </c>
      <c r="D4" s="255">
        <v>2030</v>
      </c>
      <c r="E4" s="254">
        <v>2020</v>
      </c>
      <c r="F4" s="255">
        <v>2030</v>
      </c>
    </row>
    <row r="5" spans="1:12" s="149" customFormat="1" x14ac:dyDescent="0.25">
      <c r="A5" s="149" t="s">
        <v>83</v>
      </c>
      <c r="B5" s="149">
        <v>0.8</v>
      </c>
      <c r="C5" s="149" t="s">
        <v>249</v>
      </c>
      <c r="D5" s="256">
        <v>0.9</v>
      </c>
      <c r="E5" s="149" t="s">
        <v>249</v>
      </c>
      <c r="F5" s="314">
        <v>0.1</v>
      </c>
    </row>
    <row r="6" spans="1:12" s="149" customFormat="1" x14ac:dyDescent="0.25">
      <c r="A6" s="149" t="s">
        <v>85</v>
      </c>
      <c r="B6" s="149">
        <v>-0.1</v>
      </c>
      <c r="C6" s="149" t="s">
        <v>249</v>
      </c>
      <c r="D6" s="256">
        <v>-0.1</v>
      </c>
      <c r="E6" s="149" t="s">
        <v>249</v>
      </c>
      <c r="F6" s="314"/>
    </row>
    <row r="7" spans="1:12" s="149" customFormat="1" x14ac:dyDescent="0.25"/>
    <row r="8" spans="1:12" s="149" customFormat="1" x14ac:dyDescent="0.25"/>
    <row r="9" spans="1:12" s="149" customFormat="1" x14ac:dyDescent="0.25">
      <c r="A9" s="149" t="s">
        <v>493</v>
      </c>
      <c r="B9" s="149">
        <v>2020</v>
      </c>
      <c r="C9" s="149">
        <v>2030</v>
      </c>
    </row>
    <row r="10" spans="1:12" s="149" customFormat="1" x14ac:dyDescent="0.25">
      <c r="A10" s="149" t="s">
        <v>494</v>
      </c>
      <c r="C10" s="149">
        <v>-0.34</v>
      </c>
    </row>
    <row r="11" spans="1:12" s="149" customFormat="1" x14ac:dyDescent="0.25">
      <c r="A11" s="149" t="s">
        <v>495</v>
      </c>
      <c r="C11" s="149">
        <v>-0.02</v>
      </c>
      <c r="K11" s="149" t="s">
        <v>550</v>
      </c>
      <c r="L11" s="149" t="s">
        <v>551</v>
      </c>
    </row>
    <row r="12" spans="1:12" s="149" customFormat="1" x14ac:dyDescent="0.25">
      <c r="A12" s="149" t="s">
        <v>496</v>
      </c>
      <c r="C12" s="149">
        <v>-0.08</v>
      </c>
    </row>
    <row r="13" spans="1:12" s="149" customFormat="1" x14ac:dyDescent="0.25">
      <c r="A13" s="149" t="s">
        <v>497</v>
      </c>
      <c r="C13" s="149">
        <v>-7.0000000000000007E-2</v>
      </c>
    </row>
    <row r="14" spans="1:12" s="149" customFormat="1" x14ac:dyDescent="0.25">
      <c r="A14" s="149" t="s">
        <v>498</v>
      </c>
      <c r="C14" s="149">
        <v>-0.06</v>
      </c>
    </row>
    <row r="15" spans="1:12" s="149" customFormat="1" x14ac:dyDescent="0.25">
      <c r="A15" s="149" t="s">
        <v>499</v>
      </c>
      <c r="C15" s="149">
        <v>-0.04</v>
      </c>
    </row>
    <row r="16" spans="1:12" s="149" customFormat="1" x14ac:dyDescent="0.25">
      <c r="A16" s="149" t="s">
        <v>500</v>
      </c>
      <c r="C16" s="149">
        <v>-0.04</v>
      </c>
    </row>
    <row r="17" spans="3:3" x14ac:dyDescent="0.25">
      <c r="C17">
        <f>SUM(C10:C16)</f>
        <v>-0.65000000000000013</v>
      </c>
    </row>
  </sheetData>
  <mergeCells count="1">
    <mergeCell ref="F5: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 Title Page</vt:lpstr>
      <vt:lpstr>II. Summary</vt:lpstr>
      <vt:lpstr>III. Database</vt:lpstr>
      <vt:lpstr>IV. Database_2</vt:lpstr>
      <vt:lpstr>V. Database_Clean</vt:lpstr>
      <vt:lpstr>VI. Excluded Articles</vt:lpstr>
      <vt:lpstr>VII. Global</vt:lpstr>
      <vt:lpstr>VIII. Brazil</vt:lpstr>
      <vt:lpstr>IV. China</vt:lpstr>
      <vt:lpstr>X. DRC</vt:lpstr>
      <vt:lpstr>XI. India</vt:lpstr>
      <vt:lpstr>XII. Indonesia</vt:lpstr>
      <vt:lpstr>XIII. Mexico</vt:lpstr>
      <vt:lpstr>XIV. U.S.</vt:lpstr>
      <vt:lpstr>'IV. Database_2'!Print_Titles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Kalifi Ferretti-Gallon (kfgallon@cgdev.org)</dc:creator>
  <cp:lastModifiedBy>Doug Boucher</cp:lastModifiedBy>
  <cp:lastPrinted>2014-11-25T21:20:42Z</cp:lastPrinted>
  <dcterms:created xsi:type="dcterms:W3CDTF">2014-08-11T19:20:55Z</dcterms:created>
  <dcterms:modified xsi:type="dcterms:W3CDTF">2014-12-08T14:37:02Z</dcterms:modified>
</cp:coreProperties>
</file>